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Sheet1" sheetId="1" r:id="rId1"/>
    <sheet name="squad" sheetId="2" r:id="rId2"/>
    <sheet name="Orders" sheetId="3" r:id="rId3"/>
  </sheets>
  <definedNames>
    <definedName name="_xlnm.Print_Area" localSheetId="2">'Orders'!$A$1:$AD$48,'Orders'!$A$83:$AD$129</definedName>
    <definedName name="_xlnm.Print_Area" localSheetId="1">'squad'!$B$9:$N$95</definedName>
  </definedNames>
  <calcPr fullCalcOnLoad="1"/>
</workbook>
</file>

<file path=xl/comments2.xml><?xml version="1.0" encoding="utf-8"?>
<comments xmlns="http://schemas.openxmlformats.org/spreadsheetml/2006/main">
  <authors>
    <author>PETE BURROWS</author>
  </authors>
  <commentList>
    <comment ref="Q16" authorId="0">
      <text>
        <r>
          <rPr>
            <b/>
            <u val="single"/>
            <sz val="12"/>
            <color indexed="10"/>
            <rFont val="Tahoma"/>
            <family val="2"/>
          </rPr>
          <t>VP COACHING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
TO COACH PLAYER 1 BY 1 LEVEL PUT 1 IN CELL Q19
TO COACH PLAYER 1 BY 2 LEVELS PUT 2 IN CELL Q19 ETC ETC</t>
        </r>
      </text>
    </comment>
    <comment ref="R16" authorId="0">
      <text>
        <r>
          <rPr>
            <b/>
            <sz val="11"/>
            <rFont val="Tahoma"/>
            <family val="2"/>
          </rPr>
          <t xml:space="preserve">
This is the basic cost per level upto level 10 - over </t>
        </r>
        <r>
          <rPr>
            <b/>
            <sz val="12"/>
            <rFont val="Tahoma"/>
            <family val="2"/>
          </rPr>
          <t>level 10 costs will be doubled
SBY costs will be half the cost indicated up to level 10
any player shown as zero [0] cannot be coached</t>
        </r>
        <r>
          <rPr>
            <sz val="12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P16" authorId="0">
      <text>
        <r>
          <rPr>
            <b/>
            <sz val="12"/>
            <rFont val="Tahoma"/>
            <family val="2"/>
          </rPr>
          <t>LEVELS COACHED USING YOUR COACH 1 = 1 LEVEL, 2 = 2 LEVELS ETC</t>
        </r>
        <r>
          <rPr>
            <sz val="12"/>
            <rFont val="Tahoma"/>
            <family val="2"/>
          </rPr>
          <t xml:space="preserve">
</t>
        </r>
      </text>
    </comment>
    <comment ref="V14" authorId="0">
      <text>
        <r>
          <rPr>
            <b/>
            <sz val="12"/>
            <rFont val="Tahoma"/>
            <family val="2"/>
          </rPr>
          <t>WHEN PLAYING A PLAYER OOP PLEASE PUT "1" IN THE GRID BELOW:-
EXAMPLE NO. 4 PLAYING "OOP" IN GAME 1 AND 3
PUT 1 IN CELLS V22 AND X22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TO ENTER A PLAYERS POSITION DO THE FOLLOWING
RIGHT CLICK ON THE CELL, SELECT "PICK FROM LIST", THIS OFFERS YOU A FULL LIST OF ALL PLAYER TYPES AND WILL HELP PREVENT ERRORS ON INPUT
YOU CAN STILL ENTER DATA DIRECTLY IF YOU WISH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AGE SHOULD BE ENTERED ONLY AS AGE I, II, III, IV, V, APP, SB1, SB2 NO BLANK SPACES - BASICALLY ENTER THE DETAILS EXACTLY AS PER YOUR TEAM SHEET OTHERWISE AGE RELATED BONUSES WILL NOT BE CORRECTLY ADDED
</t>
        </r>
      </text>
    </comment>
  </commentList>
</comments>
</file>

<file path=xl/comments3.xml><?xml version="1.0" encoding="utf-8"?>
<comments xmlns="http://schemas.openxmlformats.org/spreadsheetml/2006/main">
  <authors>
    <author>PETE BURROWS</author>
  </authors>
  <commentList>
    <comment ref="A13" authorId="0">
      <text>
        <r>
          <rPr>
            <sz val="11"/>
            <color indexed="10"/>
            <rFont val="Tahoma"/>
            <family val="2"/>
          </rPr>
          <t>INSERT YOUR OPPONENTS NAMES IN THIS ROW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<sst xmlns="http://schemas.openxmlformats.org/spreadsheetml/2006/main" count="1915" uniqueCount="401">
  <si>
    <t>TEAM NAME</t>
  </si>
  <si>
    <t>MANAGER</t>
  </si>
  <si>
    <t>TEAM NO.</t>
  </si>
  <si>
    <t>COACHING DETAILS</t>
  </si>
  <si>
    <t>NO.</t>
  </si>
  <si>
    <t>POS</t>
  </si>
  <si>
    <t>NAME</t>
  </si>
  <si>
    <t>LVL</t>
  </si>
  <si>
    <t xml:space="preserve"> </t>
  </si>
  <si>
    <t>SUB</t>
  </si>
  <si>
    <t>GK</t>
  </si>
  <si>
    <t>SW</t>
  </si>
  <si>
    <t>DF</t>
  </si>
  <si>
    <t>MF</t>
  </si>
  <si>
    <t>FW</t>
  </si>
  <si>
    <t>H/A</t>
  </si>
  <si>
    <t>PFD</t>
  </si>
  <si>
    <t>TOT</t>
  </si>
  <si>
    <t>GPP</t>
  </si>
  <si>
    <t>PEN</t>
  </si>
  <si>
    <t>NO</t>
  </si>
  <si>
    <t>OLD LVL</t>
  </si>
  <si>
    <t>NEW LVL</t>
  </si>
  <si>
    <t>COST IN VP`S</t>
  </si>
  <si>
    <t>DIVISION</t>
  </si>
  <si>
    <t>LEAGUE 1</t>
  </si>
  <si>
    <t>V</t>
  </si>
  <si>
    <t>LEAGUE 2</t>
  </si>
  <si>
    <t>LEAGUE 3</t>
  </si>
  <si>
    <t>CUP GAME</t>
  </si>
  <si>
    <t>BOWL GAME</t>
  </si>
  <si>
    <t>PETE BURROWS, 8 MAGNOLIA COURT, BEESTON, NOTTINGHAM, NG9 3LG</t>
  </si>
  <si>
    <t>TEL/FAX :- 0115 922 4901 [9 am - 9 pm only]</t>
  </si>
  <si>
    <t>CREDIT SENT THIS TURN</t>
  </si>
  <si>
    <t>£</t>
  </si>
  <si>
    <t>HARD</t>
  </si>
  <si>
    <t>SESSION</t>
  </si>
  <si>
    <t>MOBILE:-  07957 735012</t>
  </si>
  <si>
    <t>POS.</t>
  </si>
  <si>
    <t>TEAM NUMBER</t>
  </si>
  <si>
    <t>SQUAD</t>
  </si>
  <si>
    <t>AGE</t>
  </si>
  <si>
    <t>MAX</t>
  </si>
  <si>
    <t>QUAL</t>
  </si>
  <si>
    <t>OUT</t>
  </si>
  <si>
    <t>PLAYERS NAME</t>
  </si>
  <si>
    <t>YTS</t>
  </si>
  <si>
    <t>UNDISCOVERED</t>
  </si>
  <si>
    <t>APP</t>
  </si>
  <si>
    <t>SB1</t>
  </si>
  <si>
    <t>TEMP GK ONLY</t>
  </si>
  <si>
    <t>DP'S</t>
  </si>
  <si>
    <t>GOALS</t>
  </si>
  <si>
    <t>PLD</t>
  </si>
  <si>
    <t>CLUB RECORDS</t>
  </si>
  <si>
    <t>RECORD GOALS IN 1 SEASON</t>
  </si>
  <si>
    <t>RECORD APPEARANCES FOR YOUR CLUB</t>
  </si>
  <si>
    <t>RECORD DP'S FOR 1 PLAYER IN 1 SEASON</t>
  </si>
  <si>
    <t>RECORD DP'S IN 1 SEASON FOR THE TEAM</t>
  </si>
  <si>
    <t>MOST CASH RECORDED BY YOUR TEAM</t>
  </si>
  <si>
    <t>MOST LEVELS ATTAINED BY YOUR CLUB</t>
  </si>
  <si>
    <t>CURRENT LEVELS OF YOUR TEAM</t>
  </si>
  <si>
    <t>MATCH 1</t>
  </si>
  <si>
    <t>ERROR MESSAGES</t>
  </si>
  <si>
    <t>MATCH 2</t>
  </si>
  <si>
    <t>MATCH 3</t>
  </si>
  <si>
    <t>MATCH 4</t>
  </si>
  <si>
    <t>MATCH 5</t>
  </si>
  <si>
    <t>H/A STATUS</t>
  </si>
  <si>
    <t>SESS NO.</t>
  </si>
  <si>
    <t>PLAYER COUNT</t>
  </si>
  <si>
    <t>NO. OF PLAYERS</t>
  </si>
  <si>
    <t>PEN COUNT</t>
  </si>
  <si>
    <t>PEN TAKER</t>
  </si>
  <si>
    <t>SUB COUNT</t>
  </si>
  <si>
    <t>SUB PLAYING</t>
  </si>
  <si>
    <t>DATA ANALASIS BLOCK DO NOT CHANGE OTHEERWISE DATA WILL BECOME CORRUPT</t>
  </si>
  <si>
    <t>GM DATA DO NOT AMMEND</t>
  </si>
  <si>
    <t xml:space="preserve">POS </t>
  </si>
  <si>
    <t>G1</t>
  </si>
  <si>
    <t>G2</t>
  </si>
  <si>
    <t>G3</t>
  </si>
  <si>
    <t>G4</t>
  </si>
  <si>
    <t>G5</t>
  </si>
  <si>
    <t>ILLEGAL GK</t>
  </si>
  <si>
    <t>ILLEGAL SW</t>
  </si>
  <si>
    <t>CHECK STATUS</t>
  </si>
  <si>
    <t>COACH</t>
  </si>
  <si>
    <t>GM DATA DO NOT CHANGE OR INFORMATION WILL BECOME CORRUPT</t>
  </si>
  <si>
    <t>GS</t>
  </si>
  <si>
    <t>GK/SW</t>
  </si>
  <si>
    <t>FB</t>
  </si>
  <si>
    <t>DF/MF</t>
  </si>
  <si>
    <t>DF/FW</t>
  </si>
  <si>
    <t>DLM</t>
  </si>
  <si>
    <t>MF/FW</t>
  </si>
  <si>
    <t>MLM</t>
  </si>
  <si>
    <t>LK</t>
  </si>
  <si>
    <t>WG</t>
  </si>
  <si>
    <t>UT</t>
  </si>
  <si>
    <t>SUT</t>
  </si>
  <si>
    <t>GG</t>
  </si>
  <si>
    <t>PP</t>
  </si>
  <si>
    <t>SS</t>
  </si>
  <si>
    <t>CC</t>
  </si>
  <si>
    <t>LS</t>
  </si>
  <si>
    <t>PLAYER</t>
  </si>
  <si>
    <t>TYPE</t>
  </si>
  <si>
    <t>COACHING</t>
  </si>
  <si>
    <t>COSTS</t>
  </si>
  <si>
    <t>FOR GM USE</t>
  </si>
  <si>
    <t xml:space="preserve">TOTAL </t>
  </si>
  <si>
    <t>COST</t>
  </si>
  <si>
    <t>TOTAL</t>
  </si>
  <si>
    <t xml:space="preserve">NEW </t>
  </si>
  <si>
    <t>LEVEL</t>
  </si>
  <si>
    <t>GM NOTES IN THIS ROW</t>
  </si>
  <si>
    <t>THIS IS YOUR PLAYING LEVELS</t>
  </si>
  <si>
    <t>CASH</t>
  </si>
  <si>
    <t>GPP'S</t>
  </si>
  <si>
    <t>DP,S</t>
  </si>
  <si>
    <t>VP'S</t>
  </si>
  <si>
    <t>FANS</t>
  </si>
  <si>
    <t>CC LEVELS</t>
  </si>
  <si>
    <t>CHECK CC</t>
  </si>
  <si>
    <t>K K K</t>
  </si>
  <si>
    <t>MATCH</t>
  </si>
  <si>
    <t>HIDE</t>
  </si>
  <si>
    <t>-ING</t>
  </si>
  <si>
    <t>SB2</t>
  </si>
  <si>
    <t>-I</t>
  </si>
  <si>
    <t>-II</t>
  </si>
  <si>
    <t>NEW QUAL LEVELS</t>
  </si>
  <si>
    <t>AFTER GAME 1</t>
  </si>
  <si>
    <t>REAL</t>
  </si>
  <si>
    <t>POS. FOR G2-G5</t>
  </si>
  <si>
    <t>COST PER LEVEL</t>
  </si>
  <si>
    <t xml:space="preserve">G3 </t>
  </si>
  <si>
    <t xml:space="preserve">REAL </t>
  </si>
  <si>
    <t>AFTER GAME 2</t>
  </si>
  <si>
    <t>AFTER GAME 3</t>
  </si>
  <si>
    <t>AFTER GAME 4</t>
  </si>
  <si>
    <t>TEMP GK</t>
  </si>
  <si>
    <t>TEMP</t>
  </si>
  <si>
    <t>NO H/A ALLOWED</t>
  </si>
  <si>
    <t>PFD ERROR CHECK</t>
  </si>
  <si>
    <t>TOO MUCH H/A</t>
  </si>
  <si>
    <t>TOO LITTLE H/A</t>
  </si>
  <si>
    <t>CHECK ERROR REPORTS AND CORRECT TEAM AS REQUIRED</t>
  </si>
  <si>
    <t>ALL YELLOW BOXES BELOW SHOULD TO BE EMPTY FOR THE RELEVANT MATCH</t>
  </si>
  <si>
    <t>HARDNESS CHECK</t>
  </si>
  <si>
    <t>GPP COUNT</t>
  </si>
  <si>
    <t>GPP CHECK</t>
  </si>
  <si>
    <t>ADJ</t>
  </si>
  <si>
    <t>OFFSIDE?</t>
  </si>
  <si>
    <t>OFFSIDE</t>
  </si>
  <si>
    <t>3 TIMES RULE</t>
  </si>
  <si>
    <t>GK+EXT</t>
  </si>
  <si>
    <t xml:space="preserve">COUNT </t>
  </si>
  <si>
    <t>COUNT</t>
  </si>
  <si>
    <t>CT1</t>
  </si>
  <si>
    <t>CT2</t>
  </si>
  <si>
    <t>CT3</t>
  </si>
  <si>
    <t>CT4</t>
  </si>
  <si>
    <t>CT5</t>
  </si>
  <si>
    <t>CT6</t>
  </si>
  <si>
    <t>CT7</t>
  </si>
  <si>
    <t>CT8</t>
  </si>
  <si>
    <t>CT9</t>
  </si>
  <si>
    <t>CT10</t>
  </si>
  <si>
    <t>CT11</t>
  </si>
  <si>
    <t>CT12</t>
  </si>
  <si>
    <t>CT13</t>
  </si>
  <si>
    <t>CT14</t>
  </si>
  <si>
    <t>CT15</t>
  </si>
  <si>
    <t>CT16</t>
  </si>
  <si>
    <t>CT17</t>
  </si>
  <si>
    <t>CT18</t>
  </si>
  <si>
    <t>GS PLAYING</t>
  </si>
  <si>
    <t>PLAYER COUNTS</t>
  </si>
  <si>
    <t>FB2</t>
  </si>
  <si>
    <t>FB1</t>
  </si>
  <si>
    <t>DLM1</t>
  </si>
  <si>
    <t>DLM2</t>
  </si>
  <si>
    <t>MLM1</t>
  </si>
  <si>
    <t>MLM2</t>
  </si>
  <si>
    <t>LK1</t>
  </si>
  <si>
    <t>LK2</t>
  </si>
  <si>
    <t>OOP ERRORS</t>
  </si>
  <si>
    <t>APPLY TO VP BANK</t>
  </si>
  <si>
    <t>YES/NO</t>
  </si>
  <si>
    <t>AUCTION BIDS</t>
  </si>
  <si>
    <t>BID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</si>
  <si>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</si>
  <si>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</si>
  <si>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</si>
  <si>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</si>
  <si>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</si>
  <si>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</si>
  <si>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</si>
  <si>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</si>
  <si>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</si>
  <si>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</si>
  <si>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NAME IF NEEDED</t>
  </si>
  <si>
    <t>N/L SALES</t>
  </si>
  <si>
    <t>T/L BIDS PLAYERS NAME</t>
  </si>
  <si>
    <t>CONDITIONS IF ANY</t>
  </si>
  <si>
    <r>
      <t xml:space="preserve">H </t>
    </r>
    <r>
      <rPr>
        <b/>
        <sz val="10"/>
        <rFont val="Arial"/>
        <family val="2"/>
      </rPr>
      <t>TYPE YES HERE IF YOU WANT TO WITHDRAW FROM THE VP BANK. 3 SESSION BAN WILL APPLY.</t>
    </r>
  </si>
  <si>
    <t>ANY OTHER BUSINESS</t>
  </si>
  <si>
    <t>PLEASE READ THE INSTRUCTION SO YOU KNOW HOW THIS FORM WORKS, IT WILL BECOME SECOND NATURE TO YOU  WHEN YOU GET USED TO IT [HONEST}</t>
  </si>
  <si>
    <t>INSTRUCTIONS</t>
  </si>
  <si>
    <t>YOU MAY FIND IT BENIFICAIL TO PRINT OUT THIS PAGE AND THE "SQUAD" PAGE</t>
  </si>
  <si>
    <t xml:space="preserve">spreadsheet and work with it, keep the original as a master, you can then always come back to your master if you </t>
  </si>
  <si>
    <t>do make any major mistakes.</t>
  </si>
  <si>
    <t>On to the "squad" sheet. Transfer your team to this sheet as it appears on the squadsheet issued by me [GM] this</t>
  </si>
  <si>
    <t>includes all items being in block capitals please. So enter your name, team and the full squad etc, not forgeting to</t>
  </si>
  <si>
    <t>include gpp totals etc.</t>
  </si>
  <si>
    <t>Now we can look at the extra colums. Firstly colum "P" and "Q" - if you have a coach available "CC" coach your</t>
  </si>
  <si>
    <t>So to coach player number "1" using a "CC" simply put "1" in cell "P19", his new level for the session will appear</t>
  </si>
  <si>
    <t xml:space="preserve">in cell "S19", For standard coaching enter the number of levels a player is coached in colum "Q", so to coach player </t>
  </si>
  <si>
    <t>number 5 twice put 2 in cell "Q5" - again cell "S5" will show the players new level, the players basic coaching cost</t>
  </si>
  <si>
    <t xml:space="preserve">per level upto level 10 are shown in colum "R". If you use too manny coaches or too many vp's an error message </t>
  </si>
  <si>
    <t>will be displayed at lines 13 and 14. Do not move on to your team selection until you have made the errors go away</t>
  </si>
  <si>
    <t>by changing your coaching details.</t>
  </si>
  <si>
    <t>number at the top left changing "XX" to your session number, enter the number only of all the players you have</t>
  </si>
  <si>
    <t>coached in the previous page, all their recorded data will pop into view.</t>
  </si>
  <si>
    <t>Now to the "orders" tab, very simply again only enter data into white/clear cells. First task is to enter the session</t>
  </si>
  <si>
    <t>For each game select the venue "H A or N" as required and don't forget your opponents team name.</t>
  </si>
  <si>
    <t>All that is left now is to select your team, once again just insert the players number and all the informaion pops up,</t>
  </si>
  <si>
    <t>any adjustments for "OOP" or extra's for MLM players will be shown in the "ADJ" row and added to your teams</t>
  </si>
  <si>
    <t>Scroll down and a block of error reports can be viewed,  for each game all the blocks should be empty, it they are</t>
  </si>
  <si>
    <t>Scroll down further and you get to page 2, this is self explanatory really, do you want in or out of the vp bank, enter</t>
  </si>
  <si>
    <t xml:space="preserve">any auction bids, or transfer bids, and for non league sales just pop in the players squad number. Then it's down to </t>
  </si>
  <si>
    <t>any other business.</t>
  </si>
  <si>
    <t>If you run out of space for any other business please creat another tab and call it A.O.B. or if you are posting your</t>
  </si>
  <si>
    <t>orders and want to use another sheet of paper please do so.</t>
  </si>
  <si>
    <t>Finally, save your form, do not overwrite your master copy, please, then you can either e-mail it to me, or if you</t>
  </si>
  <si>
    <t>prefer you can print it out and post it.</t>
  </si>
  <si>
    <t>The idea behind this form is to make life as easy as possible for you as a manager and limit the number of</t>
  </si>
  <si>
    <t>mistakes managers make. I am sure it is not totally idiot proof but I am trying to help you to help me.</t>
  </si>
  <si>
    <t>If you prefer using your own form, that is fine by me, but at least have a look at what this form can offer you by means</t>
  </si>
  <si>
    <t xml:space="preserve">of ease of use, once your team has been entered it should be easy to maintain from the printouts you get. It may </t>
  </si>
  <si>
    <t>even allow you to experiment with your line-up.</t>
  </si>
  <si>
    <t>If you do make a mistake entering information simply overwrite it or delete the selection, as long as you keep off</t>
  </si>
  <si>
    <t>the coloured cells everything should be fine. If you need help with the form then please feel free to call me.</t>
  </si>
  <si>
    <t>players via colum "P", simply enter the number of times coached against each player [this is almost certainly once]</t>
  </si>
  <si>
    <t>totals. Select your Offside preference and provided you have done it all correctly, you main task is done.</t>
  </si>
  <si>
    <t>then you have selected your team correctly. {It is early days of the form so don't be shocked if something is not</t>
  </si>
  <si>
    <t>quite right, but please do report it so I can try to rectify the problem}.</t>
  </si>
  <si>
    <t>CONDITION OF PURCHASE [IF ANY] I.E. 1 ITEM ONLY, IF BID 1 FAILS BID ON 2 ETC ETC</t>
  </si>
  <si>
    <t>This spreasheet contains numerous hidden cells, please do not delete them, doing so will corrupt the spreadsheet</t>
  </si>
  <si>
    <r>
      <t xml:space="preserve">DO YOU WISH TO WITHDRAW      </t>
    </r>
    <r>
      <rPr>
        <b/>
        <sz val="10"/>
        <color indexed="8"/>
        <rFont val="Wingdings 3"/>
        <family val="1"/>
      </rPr>
      <t>I</t>
    </r>
    <r>
      <rPr>
        <b/>
        <sz val="10"/>
        <color indexed="8"/>
        <rFont val="Arial"/>
        <family val="2"/>
      </rPr>
      <t xml:space="preserve">                                            FROM VP BANK AT A COST OF 25K</t>
    </r>
  </si>
  <si>
    <t>I</t>
  </si>
  <si>
    <t>II</t>
  </si>
  <si>
    <t>III</t>
  </si>
  <si>
    <t>IV</t>
  </si>
  <si>
    <t>PLEASE READ THE NOTE ON CELLS C16, G16, P16, Q16, R16 AND Z14 BEFORE ENTERING DATA</t>
  </si>
  <si>
    <t>which I have deliberately left "unlocked". [SHEETS NOW LOCKED]</t>
  </si>
  <si>
    <r>
      <t>Data should only be entered into clear / white cells</t>
    </r>
    <r>
      <rPr>
        <sz val="10"/>
        <rFont val="Arial"/>
        <family val="0"/>
      </rPr>
      <t xml:space="preserve"> - Do not enter data into shaded cells - save a copy of the </t>
    </r>
  </si>
  <si>
    <t>N</t>
  </si>
  <si>
    <t>H/A/N</t>
  </si>
  <si>
    <t>XX</t>
  </si>
  <si>
    <t>DM</t>
  </si>
  <si>
    <t>AM</t>
  </si>
  <si>
    <t>WB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</si>
  <si>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</si>
  <si>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</si>
  <si>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</si>
  <si>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</si>
  <si>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</si>
  <si>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</si>
  <si>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</si>
  <si>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</si>
  <si>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</si>
  <si>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</si>
  <si>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</si>
  <si>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</si>
  <si>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</si>
  <si>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</si>
  <si>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</si>
  <si>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</si>
  <si>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</si>
  <si>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</si>
  <si>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</si>
  <si>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</si>
  <si>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OOP</t>
  </si>
  <si>
    <t>new data block testing area</t>
  </si>
  <si>
    <t>ACT</t>
  </si>
  <si>
    <t>CHECK  FB  FOR SW ADDS</t>
  </si>
  <si>
    <t>CHECK "OOP" +GS ADDS</t>
  </si>
  <si>
    <t>CHECK FOR DLM ADDS TO "MF"</t>
  </si>
  <si>
    <t>CHECK FOR MLM ADD TO "FW"</t>
  </si>
  <si>
    <t>CHECK FOR LK ADD TO DF &amp; FW</t>
  </si>
  <si>
    <t>CHECK FOR LS ADD TO FW</t>
  </si>
  <si>
    <t>CHECK FOR DM ADD TO DF</t>
  </si>
  <si>
    <t>CHECK FOR AM ADD TO FW</t>
  </si>
  <si>
    <t>CHECK FOR WB ADD TO FW</t>
  </si>
  <si>
    <t>EXTRA'S</t>
  </si>
  <si>
    <t>D</t>
  </si>
  <si>
    <t>E</t>
  </si>
  <si>
    <t>F</t>
  </si>
  <si>
    <t>M</t>
  </si>
  <si>
    <t>O</t>
  </si>
  <si>
    <t>R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</si>
  <si>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</si>
  <si>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</si>
  <si>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</si>
  <si>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</si>
  <si>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</si>
  <si>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</si>
  <si>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</si>
  <si>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</si>
  <si>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</si>
  <si>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</si>
  <si>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</si>
  <si>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</si>
  <si>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</si>
  <si>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</si>
  <si>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</si>
  <si>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</si>
  <si>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</si>
  <si>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</si>
  <si>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</si>
  <si>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</si>
  <si>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</si>
  <si>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</si>
  <si>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</si>
  <si>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</si>
  <si>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</si>
  <si>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</si>
  <si>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</si>
  <si>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</si>
  <si>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</si>
  <si>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</si>
  <si>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</si>
  <si>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</si>
  <si>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</si>
  <si>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</si>
  <si>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</si>
  <si>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</si>
  <si>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</si>
  <si>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</si>
  <si>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</si>
  <si>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</si>
  <si>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</si>
  <si>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</si>
  <si>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</si>
  <si>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</si>
  <si>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</si>
  <si>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</si>
  <si>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</si>
  <si>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</si>
  <si>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</si>
  <si>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</si>
  <si>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</si>
  <si>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</si>
  <si>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</si>
  <si>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</si>
  <si>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</si>
  <si>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</si>
  <si>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</si>
  <si>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</si>
  <si>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</si>
  <si>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</si>
  <si>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</si>
  <si>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</si>
  <si>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</si>
  <si>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</si>
  <si>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</si>
  <si>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</si>
  <si>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</si>
  <si>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</si>
  <si>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</si>
  <si>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</si>
  <si>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</si>
  <si>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</si>
  <si>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</si>
  <si>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</si>
  <si>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</si>
  <si>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</si>
  <si>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</si>
  <si>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</si>
  <si>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</si>
  <si>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</si>
  <si>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ERROR REPORTS</t>
  </si>
  <si>
    <t>ILLEGAL WINGER</t>
  </si>
  <si>
    <t>GK CANNOT PLAY OOP</t>
  </si>
  <si>
    <t>FB CANNOT PLAY OOP</t>
  </si>
  <si>
    <t>DLM CANNOT PLAY OOP</t>
  </si>
  <si>
    <t>MLM CANNOT PLAY OOP</t>
  </si>
  <si>
    <t>LK CANNOT PLAY OOP</t>
  </si>
  <si>
    <t>AM CANNOT PLAY OOP</t>
  </si>
  <si>
    <t>DM CANNOT PLAT OOP</t>
  </si>
  <si>
    <t>LS CANNOT PLAY OOP</t>
  </si>
  <si>
    <t>MORE DF?</t>
  </si>
  <si>
    <t>MORE MF?</t>
  </si>
  <si>
    <t>WB CANNOT PLAY OOP</t>
  </si>
  <si>
    <t>E-MAIL:-   PUMATOTL@NTLWORLD.COM</t>
  </si>
  <si>
    <t>MANAGER                [PUMA VERSION 5:03]</t>
  </si>
  <si>
    <t>DETAILS</t>
  </si>
  <si>
    <t>KKKKK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</si>
</sst>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24"/>
      <color indexed="10"/>
      <name val="Wingdings 3"/>
      <family val="1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Wingdings 3"/>
      <family val="1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Wingdings 3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sz val="26"/>
      <color indexed="10"/>
      <name val="Wingdings 3"/>
      <family val="1"/>
    </font>
    <font>
      <b/>
      <u val="single"/>
      <sz val="12"/>
      <color indexed="10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24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49" fontId="0" fillId="2" borderId="32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0" fillId="2" borderId="3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 horizontal="left"/>
    </xf>
    <xf numFmtId="0" fontId="1" fillId="3" borderId="22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45" xfId="0" applyFill="1" applyBorder="1" applyAlignment="1">
      <alignment/>
    </xf>
    <xf numFmtId="0" fontId="0" fillId="3" borderId="40" xfId="0" applyFill="1" applyBorder="1" applyAlignment="1">
      <alignment horizontal="left"/>
    </xf>
    <xf numFmtId="0" fontId="0" fillId="3" borderId="41" xfId="0" applyFill="1" applyBorder="1" applyAlignment="1">
      <alignment/>
    </xf>
    <xf numFmtId="0" fontId="0" fillId="3" borderId="27" xfId="0" applyFill="1" applyBorder="1" applyAlignment="1">
      <alignment/>
    </xf>
    <xf numFmtId="0" fontId="0" fillId="2" borderId="43" xfId="0" applyFill="1" applyBorder="1" applyAlignment="1">
      <alignment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46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0" xfId="0" applyFill="1" applyAlignment="1">
      <alignment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13" xfId="0" applyFill="1" applyBorder="1" applyAlignment="1">
      <alignment/>
    </xf>
    <xf numFmtId="0" fontId="1" fillId="2" borderId="39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2" borderId="54" xfId="0" applyFont="1" applyFill="1" applyBorder="1" applyAlignment="1" applyProtection="1">
      <alignment/>
      <protection/>
    </xf>
    <xf numFmtId="0" fontId="0" fillId="2" borderId="55" xfId="0" applyFill="1" applyBorder="1" applyAlignment="1">
      <alignment/>
    </xf>
    <xf numFmtId="0" fontId="1" fillId="2" borderId="54" xfId="0" applyFont="1" applyFill="1" applyBorder="1" applyAlignment="1">
      <alignment/>
    </xf>
    <xf numFmtId="0" fontId="1" fillId="2" borderId="25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1" fillId="4" borderId="2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0" fillId="0" borderId="24" xfId="0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47" xfId="0" applyBorder="1" applyAlignment="1">
      <alignment/>
    </xf>
    <xf numFmtId="0" fontId="0" fillId="3" borderId="11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9" borderId="47" xfId="0" applyFill="1" applyBorder="1" applyAlignment="1">
      <alignment/>
    </xf>
    <xf numFmtId="0" fontId="0" fillId="9" borderId="48" xfId="0" applyFill="1" applyBorder="1" applyAlignment="1">
      <alignment/>
    </xf>
    <xf numFmtId="0" fontId="0" fillId="9" borderId="49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6" xfId="0" applyFill="1" applyBorder="1" applyAlignment="1">
      <alignment/>
    </xf>
    <xf numFmtId="0" fontId="0" fillId="0" borderId="49" xfId="0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2" borderId="62" xfId="0" applyFill="1" applyBorder="1" applyAlignment="1">
      <alignment/>
    </xf>
    <xf numFmtId="0" fontId="0" fillId="0" borderId="47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2" borderId="27" xfId="0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4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>
      <alignment horizontal="center"/>
    </xf>
    <xf numFmtId="0" fontId="0" fillId="5" borderId="18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24" fillId="3" borderId="11" xfId="0" applyFont="1" applyFill="1" applyBorder="1" applyAlignment="1">
      <alignment vertical="top" wrapText="1"/>
    </xf>
    <xf numFmtId="0" fontId="24" fillId="3" borderId="24" xfId="0" applyFont="1" applyFill="1" applyBorder="1" applyAlignment="1">
      <alignment vertical="top" wrapText="1"/>
    </xf>
    <xf numFmtId="0" fontId="24" fillId="3" borderId="13" xfId="0" applyFont="1" applyFill="1" applyBorder="1" applyAlignment="1">
      <alignment vertical="top" wrapText="1"/>
    </xf>
    <xf numFmtId="0" fontId="24" fillId="3" borderId="16" xfId="0" applyFont="1" applyFill="1" applyBorder="1" applyAlignment="1">
      <alignment vertical="top" wrapText="1"/>
    </xf>
    <xf numFmtId="0" fontId="1" fillId="8" borderId="2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24" fillId="3" borderId="0" xfId="0" applyFont="1" applyFill="1" applyBorder="1" applyAlignment="1">
      <alignment vertical="top" wrapText="1"/>
    </xf>
    <xf numFmtId="0" fontId="24" fillId="3" borderId="47" xfId="0" applyFont="1" applyFill="1" applyBorder="1" applyAlignment="1">
      <alignment vertical="top" wrapText="1"/>
    </xf>
    <xf numFmtId="0" fontId="24" fillId="3" borderId="48" xfId="0" applyFont="1" applyFill="1" applyBorder="1" applyAlignment="1">
      <alignment vertical="top" wrapText="1"/>
    </xf>
    <xf numFmtId="0" fontId="24" fillId="3" borderId="49" xfId="0" applyFont="1" applyFill="1" applyBorder="1" applyAlignment="1">
      <alignment vertical="top" wrapText="1"/>
    </xf>
    <xf numFmtId="0" fontId="24" fillId="3" borderId="12" xfId="0" applyFont="1" applyFill="1" applyBorder="1" applyAlignment="1">
      <alignment vertical="top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2" borderId="18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10" borderId="50" xfId="0" applyFont="1" applyFill="1" applyBorder="1" applyAlignment="1">
      <alignment horizontal="center"/>
    </xf>
    <xf numFmtId="0" fontId="0" fillId="10" borderId="51" xfId="0" applyFont="1" applyFill="1" applyBorder="1" applyAlignment="1">
      <alignment horizontal="center"/>
    </xf>
    <xf numFmtId="0" fontId="0" fillId="10" borderId="52" xfId="0" applyFont="1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6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4" fillId="2" borderId="49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6" fillId="2" borderId="12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11" xfId="0" applyFont="1" applyFill="1" applyBorder="1" applyAlignment="1">
      <alignment horizontal="center" vertical="top"/>
    </xf>
    <xf numFmtId="0" fontId="26" fillId="2" borderId="24" xfId="0" applyFont="1" applyFill="1" applyBorder="1" applyAlignment="1">
      <alignment horizontal="center" vertical="top"/>
    </xf>
    <xf numFmtId="0" fontId="26" fillId="2" borderId="13" xfId="0" applyFont="1" applyFill="1" applyBorder="1" applyAlignment="1">
      <alignment horizontal="center" vertical="top"/>
    </xf>
    <xf numFmtId="0" fontId="26" fillId="2" borderId="16" xfId="0" applyFont="1" applyFill="1" applyBorder="1" applyAlignment="1">
      <alignment horizontal="center" vertical="top"/>
    </xf>
    <xf numFmtId="0" fontId="0" fillId="3" borderId="46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26" fillId="2" borderId="47" xfId="0" applyFont="1" applyFill="1" applyBorder="1" applyAlignment="1">
      <alignment horizontal="center" vertical="top"/>
    </xf>
    <xf numFmtId="0" fontId="26" fillId="2" borderId="48" xfId="0" applyFont="1" applyFill="1" applyBorder="1" applyAlignment="1">
      <alignment horizontal="center" vertical="top"/>
    </xf>
    <xf numFmtId="0" fontId="26" fillId="2" borderId="49" xfId="0" applyFont="1" applyFill="1" applyBorder="1" applyAlignment="1">
      <alignment horizontal="center" vertical="top"/>
    </xf>
    <xf numFmtId="0" fontId="27" fillId="6" borderId="47" xfId="0" applyFont="1" applyFill="1" applyBorder="1" applyAlignment="1">
      <alignment horizontal="center" vertical="top"/>
    </xf>
    <xf numFmtId="0" fontId="27" fillId="6" borderId="48" xfId="0" applyFont="1" applyFill="1" applyBorder="1" applyAlignment="1">
      <alignment horizontal="center" vertical="top"/>
    </xf>
    <xf numFmtId="0" fontId="27" fillId="6" borderId="49" xfId="0" applyFont="1" applyFill="1" applyBorder="1" applyAlignment="1">
      <alignment horizontal="center" vertical="top"/>
    </xf>
    <xf numFmtId="0" fontId="27" fillId="6" borderId="12" xfId="0" applyFont="1" applyFill="1" applyBorder="1" applyAlignment="1">
      <alignment horizontal="center" vertical="top"/>
    </xf>
    <xf numFmtId="0" fontId="27" fillId="6" borderId="0" xfId="0" applyFont="1" applyFill="1" applyBorder="1" applyAlignment="1">
      <alignment horizontal="center" vertical="top"/>
    </xf>
    <xf numFmtId="0" fontId="27" fillId="6" borderId="11" xfId="0" applyFont="1" applyFill="1" applyBorder="1" applyAlignment="1">
      <alignment horizontal="center" vertical="top"/>
    </xf>
    <xf numFmtId="0" fontId="27" fillId="6" borderId="24" xfId="0" applyFont="1" applyFill="1" applyBorder="1" applyAlignment="1">
      <alignment horizontal="center" vertical="top"/>
    </xf>
    <xf numFmtId="0" fontId="27" fillId="6" borderId="13" xfId="0" applyFont="1" applyFill="1" applyBorder="1" applyAlignment="1">
      <alignment horizontal="center" vertical="top"/>
    </xf>
    <xf numFmtId="0" fontId="27" fillId="6" borderId="16" xfId="0" applyFont="1" applyFill="1" applyBorder="1" applyAlignment="1">
      <alignment horizontal="center" vertical="top"/>
    </xf>
    <xf numFmtId="0" fontId="0" fillId="3" borderId="47" xfId="0" applyFill="1" applyBorder="1" applyAlignment="1" applyProtection="1">
      <alignment horizontal="center" vertical="center" wrapText="1"/>
      <protection/>
    </xf>
    <xf numFmtId="0" fontId="0" fillId="3" borderId="48" xfId="0" applyFill="1" applyBorder="1" applyAlignment="1" applyProtection="1">
      <alignment horizontal="center" vertical="center" wrapText="1"/>
      <protection/>
    </xf>
    <xf numFmtId="0" fontId="0" fillId="3" borderId="49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6" fillId="0" borderId="47" xfId="0" applyNumberFormat="1" applyFon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4" fontId="6" fillId="0" borderId="49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5" fillId="0" borderId="5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68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67" xfId="0" applyFont="1" applyFill="1" applyBorder="1" applyAlignment="1" applyProtection="1">
      <alignment horizontal="center" vertical="top" wrapText="1"/>
      <protection locked="0"/>
    </xf>
    <xf numFmtId="0" fontId="5" fillId="0" borderId="32" xfId="0" applyFont="1" applyFill="1" applyBorder="1" applyAlignment="1" applyProtection="1">
      <alignment horizontal="center" vertical="top" wrapText="1"/>
      <protection locked="0"/>
    </xf>
    <xf numFmtId="0" fontId="5" fillId="0" borderId="66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69" xfId="0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center" vertical="top"/>
    </xf>
    <xf numFmtId="0" fontId="1" fillId="4" borderId="49" xfId="0" applyFont="1" applyFill="1" applyBorder="1" applyAlignment="1">
      <alignment horizontal="center" vertical="top"/>
    </xf>
    <xf numFmtId="0" fontId="3" fillId="2" borderId="68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9" fillId="2" borderId="64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left" wrapText="1"/>
    </xf>
    <xf numFmtId="0" fontId="19" fillId="2" borderId="68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left" wrapText="1"/>
    </xf>
    <xf numFmtId="0" fontId="19" fillId="2" borderId="13" xfId="0" applyFont="1" applyFill="1" applyBorder="1" applyAlignment="1">
      <alignment horizontal="left" wrapText="1"/>
    </xf>
    <xf numFmtId="0" fontId="19" fillId="2" borderId="16" xfId="0" applyFont="1" applyFill="1" applyBorder="1" applyAlignment="1">
      <alignment horizontal="left" wrapText="1"/>
    </xf>
    <xf numFmtId="0" fontId="0" fillId="8" borderId="47" xfId="0" applyFont="1" applyFill="1" applyBorder="1" applyAlignment="1">
      <alignment horizontal="center"/>
    </xf>
    <xf numFmtId="0" fontId="0" fillId="8" borderId="48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5" fillId="2" borderId="70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0" fillId="2" borderId="69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66" xfId="0" applyFont="1" applyFill="1" applyBorder="1" applyAlignment="1">
      <alignment horizontal="center"/>
    </xf>
    <xf numFmtId="0" fontId="22" fillId="2" borderId="64" xfId="0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right" wrapText="1"/>
    </xf>
    <xf numFmtId="0" fontId="22" fillId="2" borderId="9" xfId="0" applyFont="1" applyFill="1" applyBorder="1" applyAlignment="1">
      <alignment horizontal="right" wrapText="1"/>
    </xf>
    <xf numFmtId="0" fontId="22" fillId="2" borderId="14" xfId="0" applyFont="1" applyFill="1" applyBorder="1" applyAlignment="1">
      <alignment horizontal="right" wrapText="1"/>
    </xf>
    <xf numFmtId="0" fontId="22" fillId="2" borderId="13" xfId="0" applyFont="1" applyFill="1" applyBorder="1" applyAlignment="1">
      <alignment horizontal="right" wrapText="1"/>
    </xf>
    <xf numFmtId="0" fontId="22" fillId="2" borderId="15" xfId="0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6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68" xfId="0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68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67" xfId="0" applyFont="1" applyFill="1" applyBorder="1" applyAlignment="1" applyProtection="1">
      <alignment horizontal="left" vertical="top" wrapText="1"/>
      <protection locked="0"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1" fillId="0" borderId="66" xfId="0" applyFont="1" applyFill="1" applyBorder="1" applyAlignment="1" applyProtection="1">
      <alignment horizontal="left" vertical="top" wrapText="1"/>
      <protection locked="0"/>
    </xf>
    <xf numFmtId="0" fontId="1" fillId="2" borderId="3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123</xdr:row>
      <xdr:rowOff>57150</xdr:rowOff>
    </xdr:from>
    <xdr:to>
      <xdr:col>5</xdr:col>
      <xdr:colOff>238125</xdr:colOff>
      <xdr:row>128</xdr:row>
      <xdr:rowOff>85725</xdr:rowOff>
    </xdr:to>
    <xdr:sp>
      <xdr:nvSpPr>
        <xdr:cNvPr id="1" name="Oval 3"/>
        <xdr:cNvSpPr>
          <a:spLocks/>
        </xdr:cNvSpPr>
      </xdr:nvSpPr>
      <xdr:spPr>
        <a:xfrm>
          <a:off x="104775" y="19440525"/>
          <a:ext cx="1924050" cy="857250"/>
        </a:xfrm>
        <a:prstGeom prst="ellipse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124</xdr:row>
      <xdr:rowOff>19050</xdr:rowOff>
    </xdr:from>
    <xdr:to>
      <xdr:col>4</xdr:col>
      <xdr:colOff>190500</xdr:colOff>
      <xdr:row>127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466725" y="19573875"/>
          <a:ext cx="12001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PUMA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12" sqref="A12:K12"/>
    </sheetView>
  </sheetViews>
  <sheetFormatPr defaultColWidth="9.140625" defaultRowHeight="12.75"/>
  <cols>
    <col min="10" max="10" width="5.57421875" style="0" customWidth="1"/>
  </cols>
  <sheetData>
    <row r="1" spans="1:11" ht="12.75">
      <c r="A1" s="291" t="s">
        <v>210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</row>
    <row r="2" spans="1:11" ht="12.75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6"/>
    </row>
    <row r="3" spans="1:11" ht="12.75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12.75">
      <c r="A4" s="297"/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11" ht="12.75">
      <c r="A5" s="286" t="s">
        <v>211</v>
      </c>
      <c r="B5" s="287"/>
      <c r="C5" s="287"/>
      <c r="D5" s="287"/>
      <c r="E5" s="287"/>
      <c r="F5" s="287"/>
      <c r="G5" s="287"/>
      <c r="H5" s="287"/>
      <c r="I5" s="287"/>
      <c r="J5" s="287"/>
      <c r="K5" s="288"/>
    </row>
    <row r="6" spans="1:11" ht="12.75">
      <c r="A6" s="297"/>
      <c r="B6" s="289"/>
      <c r="C6" s="289"/>
      <c r="D6" s="289"/>
      <c r="E6" s="289"/>
      <c r="F6" s="289"/>
      <c r="G6" s="289"/>
      <c r="H6" s="289"/>
      <c r="I6" s="289"/>
      <c r="J6" s="289"/>
      <c r="K6" s="290"/>
    </row>
    <row r="7" spans="1:11" ht="12.75">
      <c r="A7" s="297" t="s">
        <v>250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</row>
    <row r="8" spans="1:11" ht="12.75">
      <c r="A8" s="285" t="s">
        <v>257</v>
      </c>
      <c r="B8" s="281"/>
      <c r="C8" s="281"/>
      <c r="D8" s="281"/>
      <c r="E8" s="281"/>
      <c r="F8" s="281"/>
      <c r="G8" s="281"/>
      <c r="H8" s="281"/>
      <c r="I8" s="281"/>
      <c r="J8" s="281"/>
      <c r="K8" s="282"/>
    </row>
    <row r="9" spans="1:11" ht="12.75">
      <c r="A9" s="297"/>
      <c r="B9" s="289"/>
      <c r="C9" s="289"/>
      <c r="D9" s="289"/>
      <c r="E9" s="289"/>
      <c r="F9" s="289"/>
      <c r="G9" s="289"/>
      <c r="H9" s="289"/>
      <c r="I9" s="289"/>
      <c r="J9" s="289"/>
      <c r="K9" s="290"/>
    </row>
    <row r="10" spans="1:11" ht="12.75">
      <c r="A10" s="283" t="s">
        <v>258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90"/>
    </row>
    <row r="11" spans="1:11" ht="12.75">
      <c r="A11" s="297" t="s">
        <v>212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90"/>
    </row>
    <row r="12" spans="1:11" ht="12.75">
      <c r="A12" s="297" t="s">
        <v>213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90"/>
    </row>
    <row r="13" spans="1:11" ht="12.75">
      <c r="A13" s="297"/>
      <c r="B13" s="289"/>
      <c r="C13" s="289"/>
      <c r="D13" s="289"/>
      <c r="E13" s="289"/>
      <c r="F13" s="289"/>
      <c r="G13" s="289"/>
      <c r="H13" s="289"/>
      <c r="I13" s="289"/>
      <c r="J13" s="289"/>
      <c r="K13" s="290"/>
    </row>
    <row r="14" spans="1:11" ht="12.75">
      <c r="A14" s="297" t="s">
        <v>214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90"/>
    </row>
    <row r="15" spans="1:11" ht="12.75">
      <c r="A15" s="297" t="s">
        <v>215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90"/>
    </row>
    <row r="16" spans="1:11" ht="12.75">
      <c r="A16" s="297" t="s">
        <v>216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90"/>
    </row>
    <row r="17" spans="1:11" ht="12.75">
      <c r="A17" s="297"/>
      <c r="B17" s="289"/>
      <c r="C17" s="289"/>
      <c r="D17" s="289"/>
      <c r="E17" s="289"/>
      <c r="F17" s="289"/>
      <c r="G17" s="289"/>
      <c r="H17" s="289"/>
      <c r="I17" s="289"/>
      <c r="J17" s="289"/>
      <c r="K17" s="290"/>
    </row>
    <row r="18" spans="1:11" ht="12.75">
      <c r="A18" s="297" t="s">
        <v>217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90"/>
    </row>
    <row r="19" spans="1:11" ht="12.75">
      <c r="A19" s="297" t="s">
        <v>245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90"/>
    </row>
    <row r="20" spans="1:11" ht="12.75">
      <c r="A20" s="297" t="s">
        <v>218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90"/>
    </row>
    <row r="21" spans="1:11" ht="12.75">
      <c r="A21" s="297" t="s">
        <v>219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90"/>
    </row>
    <row r="22" spans="1:11" ht="12.75">
      <c r="A22" s="297" t="s">
        <v>220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90"/>
    </row>
    <row r="23" spans="1:11" ht="12.75">
      <c r="A23" s="297" t="s">
        <v>221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90"/>
    </row>
    <row r="24" spans="1:11" ht="12.75">
      <c r="A24" s="297" t="s">
        <v>222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90"/>
    </row>
    <row r="25" spans="1:11" ht="12.75">
      <c r="A25" s="297" t="s">
        <v>223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90"/>
    </row>
    <row r="26" spans="1:11" ht="12.75">
      <c r="A26" s="297"/>
      <c r="B26" s="289"/>
      <c r="C26" s="289"/>
      <c r="D26" s="289"/>
      <c r="E26" s="289"/>
      <c r="F26" s="289"/>
      <c r="G26" s="289"/>
      <c r="H26" s="289"/>
      <c r="I26" s="289"/>
      <c r="J26" s="289"/>
      <c r="K26" s="290"/>
    </row>
    <row r="27" spans="1:11" ht="12.75">
      <c r="A27" s="297" t="s">
        <v>226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0"/>
    </row>
    <row r="28" spans="1:11" ht="12.75">
      <c r="A28" s="297" t="s">
        <v>224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0"/>
    </row>
    <row r="29" spans="1:11" ht="12.75">
      <c r="A29" s="297" t="s">
        <v>225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90"/>
    </row>
    <row r="30" spans="1:11" ht="12.75">
      <c r="A30" s="297" t="s">
        <v>227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90"/>
    </row>
    <row r="31" spans="1:11" ht="12.75">
      <c r="A31" s="297" t="s">
        <v>228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90"/>
    </row>
    <row r="32" spans="1:11" ht="12.75">
      <c r="A32" s="297" t="s">
        <v>229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90"/>
    </row>
    <row r="33" spans="1:11" ht="12.75">
      <c r="A33" s="297" t="s">
        <v>246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90"/>
    </row>
    <row r="34" spans="1:11" ht="12.75">
      <c r="A34" s="297" t="s">
        <v>230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90"/>
    </row>
    <row r="35" spans="1:11" ht="12.75">
      <c r="A35" s="297" t="s">
        <v>247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90"/>
    </row>
    <row r="36" spans="1:11" ht="12.75">
      <c r="A36" s="297" t="s">
        <v>248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90"/>
    </row>
    <row r="37" spans="1:11" ht="12.75">
      <c r="A37" s="297"/>
      <c r="B37" s="289"/>
      <c r="C37" s="289"/>
      <c r="D37" s="289"/>
      <c r="E37" s="289"/>
      <c r="F37" s="289"/>
      <c r="G37" s="289"/>
      <c r="H37" s="289"/>
      <c r="I37" s="289"/>
      <c r="J37" s="289"/>
      <c r="K37" s="290"/>
    </row>
    <row r="38" spans="1:11" ht="12.75">
      <c r="A38" s="297" t="s">
        <v>231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90"/>
    </row>
    <row r="39" spans="1:11" ht="12.75">
      <c r="A39" s="297" t="s">
        <v>232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90"/>
    </row>
    <row r="40" spans="1:11" ht="12.75">
      <c r="A40" s="297" t="s">
        <v>233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90"/>
    </row>
    <row r="41" spans="1:11" ht="12.75">
      <c r="A41" s="297"/>
      <c r="B41" s="289"/>
      <c r="C41" s="289"/>
      <c r="D41" s="289"/>
      <c r="E41" s="289"/>
      <c r="F41" s="289"/>
      <c r="G41" s="289"/>
      <c r="H41" s="289"/>
      <c r="I41" s="289"/>
      <c r="J41" s="289"/>
      <c r="K41" s="290"/>
    </row>
    <row r="42" spans="1:11" ht="12.75">
      <c r="A42" s="297" t="s">
        <v>234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90"/>
    </row>
    <row r="43" spans="1:11" ht="12.75">
      <c r="A43" s="297" t="s">
        <v>235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90"/>
    </row>
    <row r="44" spans="1:11" ht="12.75">
      <c r="A44" s="297"/>
      <c r="B44" s="289"/>
      <c r="C44" s="289"/>
      <c r="D44" s="289"/>
      <c r="E44" s="289"/>
      <c r="F44" s="289"/>
      <c r="G44" s="289"/>
      <c r="H44" s="289"/>
      <c r="I44" s="289"/>
      <c r="J44" s="289"/>
      <c r="K44" s="290"/>
    </row>
    <row r="45" spans="1:11" ht="12.75">
      <c r="A45" s="297" t="s">
        <v>236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90"/>
    </row>
    <row r="46" spans="1:11" ht="12.75">
      <c r="A46" s="297" t="s">
        <v>237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90"/>
    </row>
    <row r="47" spans="1:11" ht="12.75">
      <c r="A47" s="297"/>
      <c r="B47" s="289"/>
      <c r="C47" s="289"/>
      <c r="D47" s="289"/>
      <c r="E47" s="289"/>
      <c r="F47" s="289"/>
      <c r="G47" s="289"/>
      <c r="H47" s="289"/>
      <c r="I47" s="289"/>
      <c r="J47" s="289"/>
      <c r="K47" s="290"/>
    </row>
    <row r="48" spans="1:11" ht="12.75">
      <c r="A48" s="297" t="s">
        <v>238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90"/>
    </row>
    <row r="49" spans="1:11" ht="12.75">
      <c r="A49" s="297" t="s">
        <v>239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90"/>
    </row>
    <row r="50" spans="1:11" ht="12.75">
      <c r="A50" s="297"/>
      <c r="B50" s="289"/>
      <c r="C50" s="289"/>
      <c r="D50" s="289"/>
      <c r="E50" s="289"/>
      <c r="F50" s="289"/>
      <c r="G50" s="289"/>
      <c r="H50" s="289"/>
      <c r="I50" s="289"/>
      <c r="J50" s="289"/>
      <c r="K50" s="290"/>
    </row>
    <row r="51" spans="1:11" ht="12.75">
      <c r="A51" s="297" t="s">
        <v>240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90"/>
    </row>
    <row r="52" spans="1:11" ht="12.75">
      <c r="A52" s="297" t="s">
        <v>241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90"/>
    </row>
    <row r="53" spans="1:11" ht="12.75">
      <c r="A53" s="297" t="s">
        <v>242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90"/>
    </row>
    <row r="54" spans="1:11" ht="12.75">
      <c r="A54" s="297"/>
      <c r="B54" s="289"/>
      <c r="C54" s="289"/>
      <c r="D54" s="289"/>
      <c r="E54" s="289"/>
      <c r="F54" s="289"/>
      <c r="G54" s="289"/>
      <c r="H54" s="289"/>
      <c r="I54" s="289"/>
      <c r="J54" s="289"/>
      <c r="K54" s="290"/>
    </row>
    <row r="55" spans="1:11" ht="12.75">
      <c r="A55" s="297" t="s">
        <v>243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90"/>
    </row>
    <row r="56" spans="1:11" ht="12.75">
      <c r="A56" s="297" t="s">
        <v>244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90"/>
    </row>
    <row r="57" spans="1:11" ht="12.75">
      <c r="A57" s="297"/>
      <c r="B57" s="289"/>
      <c r="C57" s="289"/>
      <c r="D57" s="289"/>
      <c r="E57" s="289"/>
      <c r="F57" s="289"/>
      <c r="G57" s="289"/>
      <c r="H57" s="289"/>
      <c r="I57" s="289"/>
      <c r="J57" s="289"/>
      <c r="K57" s="290"/>
    </row>
    <row r="58" spans="1:11" ht="12.75">
      <c r="A58" s="297"/>
      <c r="B58" s="289"/>
      <c r="C58" s="289"/>
      <c r="D58" s="289"/>
      <c r="E58" s="289"/>
      <c r="F58" s="289"/>
      <c r="G58" s="289"/>
      <c r="H58" s="289"/>
      <c r="I58" s="289"/>
      <c r="J58" s="289"/>
      <c r="K58" s="290"/>
    </row>
    <row r="59" spans="1:11" ht="12.75">
      <c r="A59" s="297"/>
      <c r="B59" s="289"/>
      <c r="C59" s="289"/>
      <c r="D59" s="289"/>
      <c r="E59" s="289"/>
      <c r="F59" s="289"/>
      <c r="G59" s="289"/>
      <c r="H59" s="289"/>
      <c r="I59" s="289"/>
      <c r="J59" s="289"/>
      <c r="K59" s="290"/>
    </row>
    <row r="60" spans="1:11" ht="12.75">
      <c r="A60" s="297"/>
      <c r="B60" s="289"/>
      <c r="C60" s="289"/>
      <c r="D60" s="289"/>
      <c r="E60" s="289"/>
      <c r="F60" s="289"/>
      <c r="G60" s="289"/>
      <c r="H60" s="289"/>
      <c r="I60" s="289"/>
      <c r="J60" s="289"/>
      <c r="K60" s="290"/>
    </row>
    <row r="61" spans="1:11" ht="12.75">
      <c r="A61" s="297"/>
      <c r="B61" s="289"/>
      <c r="C61" s="289"/>
      <c r="D61" s="289"/>
      <c r="E61" s="289"/>
      <c r="F61" s="289"/>
      <c r="G61" s="289"/>
      <c r="H61" s="289"/>
      <c r="I61" s="289"/>
      <c r="J61" s="289"/>
      <c r="K61" s="290"/>
    </row>
    <row r="62" spans="1:11" ht="12.75">
      <c r="A62" s="297"/>
      <c r="B62" s="289"/>
      <c r="C62" s="289"/>
      <c r="D62" s="289"/>
      <c r="E62" s="289"/>
      <c r="F62" s="289"/>
      <c r="G62" s="289"/>
      <c r="H62" s="289"/>
      <c r="I62" s="289"/>
      <c r="J62" s="289"/>
      <c r="K62" s="290"/>
    </row>
    <row r="63" spans="1:11" ht="13.5" thickBot="1">
      <c r="A63" s="284"/>
      <c r="B63" s="277"/>
      <c r="C63" s="277"/>
      <c r="D63" s="277"/>
      <c r="E63" s="277"/>
      <c r="F63" s="277"/>
      <c r="G63" s="277"/>
      <c r="H63" s="277"/>
      <c r="I63" s="277"/>
      <c r="J63" s="277"/>
      <c r="K63" s="278"/>
    </row>
    <row r="64" spans="1:11" ht="12.7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2.7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2.7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2.7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2.7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2.7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2.7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2.7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2.7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2.7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2.7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2.7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2.7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2.7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2.7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2.7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2.7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2.7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2.7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2.7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2.7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2.7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2.7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2.7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2.7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2.7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2.7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</sheetData>
  <mergeCells count="61">
    <mergeCell ref="A60:K60"/>
    <mergeCell ref="A61:K61"/>
    <mergeCell ref="A62:K62"/>
    <mergeCell ref="A63:K63"/>
    <mergeCell ref="A56:K56"/>
    <mergeCell ref="A57:K57"/>
    <mergeCell ref="A58:K58"/>
    <mergeCell ref="A59:K59"/>
    <mergeCell ref="A52:K52"/>
    <mergeCell ref="A53:K53"/>
    <mergeCell ref="A54:K54"/>
    <mergeCell ref="A55:K55"/>
    <mergeCell ref="A48:K48"/>
    <mergeCell ref="A49:K49"/>
    <mergeCell ref="A50:K50"/>
    <mergeCell ref="A51:K51"/>
    <mergeCell ref="A44:K44"/>
    <mergeCell ref="A45:K45"/>
    <mergeCell ref="A46:K46"/>
    <mergeCell ref="A47:K47"/>
    <mergeCell ref="A40:K40"/>
    <mergeCell ref="A41:K41"/>
    <mergeCell ref="A42:K42"/>
    <mergeCell ref="A43:K43"/>
    <mergeCell ref="A36:K36"/>
    <mergeCell ref="A37:K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16:K16"/>
    <mergeCell ref="A17:K17"/>
    <mergeCell ref="A18:K18"/>
    <mergeCell ref="A19:K19"/>
    <mergeCell ref="A12:K12"/>
    <mergeCell ref="A13:K13"/>
    <mergeCell ref="A14:K14"/>
    <mergeCell ref="A15:K15"/>
    <mergeCell ref="A8:K8"/>
    <mergeCell ref="A9:K9"/>
    <mergeCell ref="A10:K10"/>
    <mergeCell ref="A11:K11"/>
    <mergeCell ref="A1:K3"/>
    <mergeCell ref="A4:K4"/>
    <mergeCell ref="A6:K6"/>
    <mergeCell ref="A7:K7"/>
    <mergeCell ref="A5:K5"/>
  </mergeCells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127"/>
  <sheetViews>
    <sheetView zoomScale="75" zoomScaleNormal="75" workbookViewId="0" topLeftCell="A1">
      <pane ySplit="17" topLeftCell="BM18" activePane="bottomLeft" state="frozen"/>
      <selection pane="topLeft" activeCell="A1" sqref="A1"/>
      <selection pane="bottomLeft" activeCell="D9" sqref="D9:I9"/>
    </sheetView>
  </sheetViews>
  <sheetFormatPr defaultColWidth="9.140625" defaultRowHeight="12.75"/>
  <cols>
    <col min="1" max="1" width="3.00390625" style="0" customWidth="1"/>
    <col min="3" max="3" width="6.57421875" style="0" customWidth="1"/>
    <col min="4" max="4" width="8.140625" style="0" customWidth="1"/>
    <col min="5" max="5" width="8.00390625" style="0" customWidth="1"/>
    <col min="6" max="6" width="9.00390625" style="0" customWidth="1"/>
    <col min="7" max="7" width="5.421875" style="0" customWidth="1"/>
    <col min="8" max="9" width="5.7109375" style="0" customWidth="1"/>
    <col min="10" max="10" width="5.28125" style="0" customWidth="1"/>
    <col min="11" max="11" width="5.421875" style="0" customWidth="1"/>
    <col min="12" max="12" width="6.57421875" style="0" customWidth="1"/>
    <col min="13" max="13" width="5.421875" style="0" customWidth="1"/>
    <col min="14" max="14" width="13.28125" style="0" customWidth="1"/>
    <col min="15" max="15" width="1.57421875" style="0" customWidth="1"/>
    <col min="16" max="16" width="7.421875" style="0" customWidth="1"/>
    <col min="17" max="17" width="8.57421875" style="23" customWidth="1"/>
    <col min="18" max="18" width="9.140625" style="23" customWidth="1"/>
    <col min="20" max="20" width="8.28125" style="23" hidden="1" customWidth="1"/>
    <col min="21" max="21" width="6.8515625" style="23" hidden="1" customWidth="1"/>
    <col min="22" max="22" width="5.57421875" style="23" customWidth="1"/>
    <col min="23" max="23" width="5.00390625" style="23" customWidth="1"/>
    <col min="24" max="24" width="4.140625" style="23" customWidth="1"/>
    <col min="25" max="25" width="4.421875" style="23" customWidth="1"/>
    <col min="26" max="26" width="4.57421875" style="23" customWidth="1"/>
    <col min="27" max="27" width="26.8515625" style="0" customWidth="1"/>
    <col min="28" max="29" width="4.8515625" style="0" hidden="1" customWidth="1"/>
    <col min="30" max="32" width="4.140625" style="0" hidden="1" customWidth="1"/>
    <col min="33" max="33" width="4.8515625" style="23" hidden="1" customWidth="1"/>
    <col min="34" max="34" width="5.421875" style="23" hidden="1" customWidth="1"/>
    <col min="35" max="35" width="5.7109375" style="23" hidden="1" customWidth="1"/>
    <col min="36" max="36" width="4.8515625" style="23" hidden="1" customWidth="1"/>
    <col min="37" max="37" width="5.421875" style="23" hidden="1" customWidth="1"/>
    <col min="38" max="38" width="4.140625" style="23" hidden="1" customWidth="1"/>
    <col min="39" max="39" width="5.00390625" style="23" hidden="1" customWidth="1"/>
    <col min="40" max="40" width="7.28125" style="23" hidden="1" customWidth="1"/>
    <col min="41" max="41" width="11.7109375" style="23" hidden="1" customWidth="1"/>
    <col min="42" max="42" width="6.57421875" style="23" hidden="1" customWidth="1"/>
    <col min="43" max="43" width="5.140625" style="0" hidden="1" customWidth="1"/>
    <col min="44" max="45" width="5.421875" style="0" hidden="1" customWidth="1"/>
    <col min="46" max="46" width="4.8515625" style="0" hidden="1" customWidth="1"/>
    <col min="47" max="47" width="5.421875" style="0" hidden="1" customWidth="1"/>
    <col min="48" max="48" width="3.7109375" style="0" hidden="1" customWidth="1"/>
    <col min="49" max="49" width="4.421875" style="0" hidden="1" customWidth="1"/>
    <col min="50" max="51" width="7.28125" style="0" hidden="1" customWidth="1"/>
    <col min="52" max="52" width="9.140625" style="0" hidden="1" customWidth="1"/>
    <col min="53" max="53" width="5.140625" style="0" hidden="1" customWidth="1"/>
    <col min="54" max="55" width="5.421875" style="0" hidden="1" customWidth="1"/>
    <col min="56" max="56" width="4.8515625" style="0" hidden="1" customWidth="1"/>
    <col min="57" max="57" width="5.421875" style="0" hidden="1" customWidth="1"/>
    <col min="58" max="58" width="4.57421875" style="0" hidden="1" customWidth="1"/>
    <col min="59" max="59" width="4.8515625" style="0" hidden="1" customWidth="1"/>
    <col min="60" max="61" width="7.28125" style="0" hidden="1" customWidth="1"/>
    <col min="62" max="62" width="9.140625" style="0" hidden="1" customWidth="1"/>
    <col min="63" max="63" width="5.140625" style="0" hidden="1" customWidth="1"/>
    <col min="64" max="65" width="5.421875" style="0" hidden="1" customWidth="1"/>
    <col min="66" max="66" width="4.8515625" style="0" hidden="1" customWidth="1"/>
    <col min="67" max="67" width="5.421875" style="0" hidden="1" customWidth="1"/>
    <col min="68" max="68" width="4.57421875" style="0" hidden="1" customWidth="1"/>
    <col min="69" max="69" width="5.28125" style="0" hidden="1" customWidth="1"/>
    <col min="70" max="71" width="7.28125" style="0" hidden="1" customWidth="1"/>
    <col min="72" max="78" width="9.140625" style="0" hidden="1" customWidth="1"/>
  </cols>
  <sheetData>
    <row r="1" spans="2:26" ht="12.75">
      <c r="B1" s="364" t="s">
        <v>209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6"/>
      <c r="P1" s="273" t="s">
        <v>256</v>
      </c>
      <c r="Q1" s="274"/>
      <c r="R1" s="274"/>
      <c r="S1" s="274"/>
      <c r="T1" s="274"/>
      <c r="U1" s="274"/>
      <c r="V1" s="274"/>
      <c r="W1" s="274"/>
      <c r="X1" s="274"/>
      <c r="Y1" s="274"/>
      <c r="Z1" s="275"/>
    </row>
    <row r="2" spans="2:26" ht="12.75">
      <c r="B2" s="367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P2" s="276"/>
      <c r="Q2" s="272"/>
      <c r="R2" s="272"/>
      <c r="S2" s="272"/>
      <c r="T2" s="272"/>
      <c r="U2" s="272"/>
      <c r="V2" s="272"/>
      <c r="W2" s="272"/>
      <c r="X2" s="272"/>
      <c r="Y2" s="272"/>
      <c r="Z2" s="266"/>
    </row>
    <row r="3" spans="2:26" ht="13.5" thickBot="1">
      <c r="B3" s="370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2"/>
      <c r="P3" s="267"/>
      <c r="Q3" s="268"/>
      <c r="R3" s="268"/>
      <c r="S3" s="268"/>
      <c r="T3" s="268"/>
      <c r="U3" s="268"/>
      <c r="V3" s="268"/>
      <c r="W3" s="268"/>
      <c r="X3" s="268"/>
      <c r="Y3" s="268"/>
      <c r="Z3" s="269"/>
    </row>
    <row r="4" ht="13.5" thickBot="1"/>
    <row r="5" ht="13.5" hidden="1" thickBot="1"/>
    <row r="6" ht="13.5" hidden="1" thickBot="1"/>
    <row r="7" spans="2:31" ht="13.5" hidden="1" thickBot="1">
      <c r="B7" s="298" t="s">
        <v>116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300"/>
      <c r="T7" s="23" t="s">
        <v>127</v>
      </c>
      <c r="U7" s="23" t="s">
        <v>127</v>
      </c>
      <c r="AB7" s="374" t="s">
        <v>127</v>
      </c>
      <c r="AC7" s="374"/>
      <c r="AD7" s="374"/>
      <c r="AE7" s="374"/>
    </row>
    <row r="8" ht="13.5" hidden="1" thickBot="1"/>
    <row r="9" spans="2:26" ht="12.75" customHeight="1">
      <c r="B9" s="318" t="s">
        <v>39</v>
      </c>
      <c r="C9" s="319"/>
      <c r="D9" s="307" t="s">
        <v>261</v>
      </c>
      <c r="E9" s="307"/>
      <c r="F9" s="307"/>
      <c r="G9" s="307"/>
      <c r="H9" s="307"/>
      <c r="I9" s="307"/>
      <c r="J9" s="93" t="str">
        <f>IF(D9&lt;1,"ENTER TEAM NUMBER",IF(D9&gt;48,"ENTER TEAM NUMBER",""))</f>
        <v>ENTER TEAM NUMBER</v>
      </c>
      <c r="K9" s="94"/>
      <c r="L9" s="94"/>
      <c r="M9" s="94"/>
      <c r="N9" s="95"/>
      <c r="O9" s="1"/>
      <c r="P9" s="334" t="s">
        <v>117</v>
      </c>
      <c r="Q9" s="335"/>
      <c r="R9" s="335"/>
      <c r="S9" s="338" t="s">
        <v>125</v>
      </c>
      <c r="V9" s="355" t="s">
        <v>400</v>
      </c>
      <c r="W9" s="356"/>
      <c r="X9" s="356"/>
      <c r="Y9" s="356"/>
      <c r="Z9" s="357"/>
    </row>
    <row r="10" spans="2:26" ht="12.75" customHeight="1">
      <c r="B10" s="313" t="s">
        <v>0</v>
      </c>
      <c r="C10" s="317"/>
      <c r="D10" s="308" t="s">
        <v>261</v>
      </c>
      <c r="E10" s="308"/>
      <c r="F10" s="308"/>
      <c r="G10" s="308"/>
      <c r="H10" s="308"/>
      <c r="I10" s="308"/>
      <c r="J10" s="91" t="str">
        <f>IF(D10="XX","ENTER TEAM NAME","")</f>
        <v>ENTER TEAM NAME</v>
      </c>
      <c r="K10" s="91"/>
      <c r="L10" s="91"/>
      <c r="M10" s="91"/>
      <c r="N10" s="92"/>
      <c r="O10" s="1"/>
      <c r="P10" s="336"/>
      <c r="Q10" s="337"/>
      <c r="R10" s="337"/>
      <c r="S10" s="339"/>
      <c r="V10" s="358"/>
      <c r="W10" s="359"/>
      <c r="X10" s="359"/>
      <c r="Y10" s="359"/>
      <c r="Z10" s="360"/>
    </row>
    <row r="11" spans="2:26" ht="12.75" customHeight="1" thickBot="1">
      <c r="B11" s="313" t="s">
        <v>1</v>
      </c>
      <c r="C11" s="317"/>
      <c r="D11" s="311" t="s">
        <v>261</v>
      </c>
      <c r="E11" s="311"/>
      <c r="F11" s="311"/>
      <c r="G11" s="311"/>
      <c r="H11" s="311"/>
      <c r="I11" s="311"/>
      <c r="J11" s="89" t="str">
        <f>IF(D11="XX","ENTER MANAGERS NAME","")</f>
        <v>ENTER MANAGERS NAME</v>
      </c>
      <c r="K11" s="90"/>
      <c r="L11" s="90"/>
      <c r="M11" s="90"/>
      <c r="N11" s="96"/>
      <c r="O11" s="1"/>
      <c r="P11" s="336"/>
      <c r="Q11" s="337"/>
      <c r="R11" s="337"/>
      <c r="S11" s="339"/>
      <c r="V11" s="361"/>
      <c r="W11" s="362"/>
      <c r="X11" s="362"/>
      <c r="Y11" s="362"/>
      <c r="Z11" s="363"/>
    </row>
    <row r="12" spans="2:26" ht="12.75" customHeight="1">
      <c r="B12" s="326" t="s">
        <v>24</v>
      </c>
      <c r="C12" s="312"/>
      <c r="D12" s="311" t="s">
        <v>261</v>
      </c>
      <c r="E12" s="311"/>
      <c r="F12" s="311"/>
      <c r="G12" s="311"/>
      <c r="H12" s="311"/>
      <c r="I12" s="311"/>
      <c r="J12" s="91" t="str">
        <f>IF(D12&gt;4,"ENTER YOUR TEAMS DIVISION",IF(D12&lt;1,"ENTER YOUR TEAMS DIVISION",""))</f>
        <v>ENTER YOUR TEAMS DIVISION</v>
      </c>
      <c r="K12" s="91"/>
      <c r="L12" s="91"/>
      <c r="M12" s="91"/>
      <c r="N12" s="92"/>
      <c r="O12" s="1"/>
      <c r="P12" s="336"/>
      <c r="Q12" s="337"/>
      <c r="R12" s="337"/>
      <c r="S12" s="339"/>
      <c r="V12" s="352" t="s">
        <v>285</v>
      </c>
      <c r="W12" s="353"/>
      <c r="X12" s="353"/>
      <c r="Y12" s="353"/>
      <c r="Z12" s="354"/>
    </row>
    <row r="13" spans="2:26" ht="15.75">
      <c r="B13" s="97">
        <f>IF(P59&gt;E103,"NOT ENOUGH COACHES TO COACH AS REQUIRED","")</f>
      </c>
      <c r="C13" s="77"/>
      <c r="D13" s="77"/>
      <c r="E13" s="77"/>
      <c r="F13" s="77"/>
      <c r="G13" s="43"/>
      <c r="H13" s="43"/>
      <c r="I13" s="19"/>
      <c r="J13" s="89"/>
      <c r="K13" s="90"/>
      <c r="L13" s="90"/>
      <c r="M13" s="90"/>
      <c r="N13" s="96"/>
      <c r="O13" s="1"/>
      <c r="P13" s="41"/>
      <c r="Q13" s="68"/>
      <c r="R13" s="68"/>
      <c r="S13" s="339"/>
      <c r="V13" s="344"/>
      <c r="W13" s="345"/>
      <c r="X13" s="345"/>
      <c r="Y13" s="345"/>
      <c r="Z13" s="346"/>
    </row>
    <row r="14" spans="2:31" ht="15.75">
      <c r="B14" s="97">
        <f>IF(U59&gt;I15,"YOU ARE USING TOO MANY VP`S","")</f>
      </c>
      <c r="C14" s="43"/>
      <c r="D14" s="43"/>
      <c r="E14" s="43"/>
      <c r="F14" s="43"/>
      <c r="G14" s="43"/>
      <c r="H14" s="43"/>
      <c r="I14" s="19"/>
      <c r="J14" s="91"/>
      <c r="K14" s="91"/>
      <c r="L14" s="91"/>
      <c r="M14" s="91"/>
      <c r="N14" s="92"/>
      <c r="O14" s="1"/>
      <c r="P14" s="41"/>
      <c r="Q14" s="68"/>
      <c r="R14" s="68"/>
      <c r="S14" s="339"/>
      <c r="V14" s="344" t="s">
        <v>399</v>
      </c>
      <c r="W14" s="345"/>
      <c r="X14" s="345"/>
      <c r="Y14" s="345"/>
      <c r="Z14" s="346"/>
      <c r="AB14" s="332" t="s">
        <v>135</v>
      </c>
      <c r="AC14" s="332"/>
      <c r="AD14" s="332"/>
      <c r="AE14" s="332"/>
    </row>
    <row r="15" spans="2:71" ht="13.5" thickBot="1">
      <c r="B15" s="98" t="s">
        <v>118</v>
      </c>
      <c r="C15" s="194"/>
      <c r="D15" s="73" t="s">
        <v>119</v>
      </c>
      <c r="E15" s="194"/>
      <c r="F15" s="73" t="s">
        <v>120</v>
      </c>
      <c r="G15" s="194"/>
      <c r="H15" s="73" t="s">
        <v>121</v>
      </c>
      <c r="I15" s="328"/>
      <c r="J15" s="328"/>
      <c r="K15" s="327" t="s">
        <v>122</v>
      </c>
      <c r="L15" s="327"/>
      <c r="M15" s="328"/>
      <c r="N15" s="329"/>
      <c r="O15" s="1"/>
      <c r="P15" s="44"/>
      <c r="Q15" s="59"/>
      <c r="R15" s="59"/>
      <c r="S15" s="340"/>
      <c r="V15" s="347"/>
      <c r="W15" s="348"/>
      <c r="X15" s="348"/>
      <c r="Y15" s="348"/>
      <c r="Z15" s="349"/>
      <c r="AA15" s="3"/>
      <c r="AB15" s="332"/>
      <c r="AC15" s="332"/>
      <c r="AD15" s="332"/>
      <c r="AE15" s="332"/>
      <c r="AG15" s="373" t="s">
        <v>133</v>
      </c>
      <c r="AH15" s="373"/>
      <c r="AI15" s="373"/>
      <c r="AJ15" s="373"/>
      <c r="AK15" s="373"/>
      <c r="AL15" s="373"/>
      <c r="AM15" s="373"/>
      <c r="AN15" s="10"/>
      <c r="AO15" s="10" t="s">
        <v>134</v>
      </c>
      <c r="AP15" s="74"/>
      <c r="AQ15" s="373" t="s">
        <v>139</v>
      </c>
      <c r="AR15" s="373"/>
      <c r="AS15" s="373"/>
      <c r="AT15" s="373"/>
      <c r="AU15" s="373"/>
      <c r="AV15" s="373"/>
      <c r="AW15" s="373"/>
      <c r="AX15" s="4"/>
      <c r="AY15" s="4" t="s">
        <v>138</v>
      </c>
      <c r="AZ15" s="79"/>
      <c r="BA15" s="373" t="s">
        <v>140</v>
      </c>
      <c r="BB15" s="373"/>
      <c r="BC15" s="373"/>
      <c r="BD15" s="373"/>
      <c r="BE15" s="373"/>
      <c r="BF15" s="373"/>
      <c r="BG15" s="373"/>
      <c r="BH15" s="10"/>
      <c r="BI15" s="10" t="s">
        <v>134</v>
      </c>
      <c r="BJ15" s="79"/>
      <c r="BK15" s="373" t="s">
        <v>141</v>
      </c>
      <c r="BL15" s="373"/>
      <c r="BM15" s="373"/>
      <c r="BN15" s="373"/>
      <c r="BO15" s="373"/>
      <c r="BP15" s="373"/>
      <c r="BQ15" s="373"/>
      <c r="BR15" s="4"/>
      <c r="BS15" s="4" t="s">
        <v>138</v>
      </c>
    </row>
    <row r="16" spans="2:71" ht="12.75">
      <c r="B16" s="30" t="s">
        <v>40</v>
      </c>
      <c r="C16" s="31" t="s">
        <v>38</v>
      </c>
      <c r="D16" s="323" t="s">
        <v>45</v>
      </c>
      <c r="E16" s="324"/>
      <c r="F16" s="325"/>
      <c r="G16" s="279" t="s">
        <v>41</v>
      </c>
      <c r="H16" s="31" t="s">
        <v>7</v>
      </c>
      <c r="I16" s="31" t="s">
        <v>42</v>
      </c>
      <c r="J16" s="31" t="s">
        <v>51</v>
      </c>
      <c r="K16" s="31" t="s">
        <v>43</v>
      </c>
      <c r="L16" s="31" t="s">
        <v>52</v>
      </c>
      <c r="M16" s="31" t="s">
        <v>53</v>
      </c>
      <c r="N16" s="33" t="s">
        <v>44</v>
      </c>
      <c r="O16" s="32"/>
      <c r="P16" s="330" t="s">
        <v>123</v>
      </c>
      <c r="Q16" s="74" t="s">
        <v>87</v>
      </c>
      <c r="R16" s="350" t="s">
        <v>136</v>
      </c>
      <c r="S16" s="61" t="s">
        <v>114</v>
      </c>
      <c r="T16" s="264" t="s">
        <v>110</v>
      </c>
      <c r="U16" s="65" t="s">
        <v>111</v>
      </c>
      <c r="V16" s="341" t="s">
        <v>126</v>
      </c>
      <c r="W16" s="342"/>
      <c r="X16" s="342"/>
      <c r="Y16" s="342"/>
      <c r="Z16" s="343"/>
      <c r="AB16" s="333"/>
      <c r="AC16" s="333"/>
      <c r="AD16" s="333"/>
      <c r="AE16" s="333"/>
      <c r="AG16" s="373" t="s">
        <v>132</v>
      </c>
      <c r="AH16" s="373"/>
      <c r="AI16" s="373"/>
      <c r="AJ16" s="373"/>
      <c r="AK16" s="373"/>
      <c r="AL16" s="373"/>
      <c r="AM16" s="373"/>
      <c r="AN16" s="10" t="s">
        <v>89</v>
      </c>
      <c r="AO16" s="10" t="s">
        <v>80</v>
      </c>
      <c r="AP16" s="74"/>
      <c r="AQ16" s="373" t="s">
        <v>132</v>
      </c>
      <c r="AR16" s="373"/>
      <c r="AS16" s="373"/>
      <c r="AT16" s="373"/>
      <c r="AU16" s="373"/>
      <c r="AV16" s="373"/>
      <c r="AW16" s="373"/>
      <c r="AX16" s="4" t="s">
        <v>137</v>
      </c>
      <c r="AY16" s="4" t="s">
        <v>81</v>
      </c>
      <c r="AZ16" s="79"/>
      <c r="BA16" s="373" t="s">
        <v>132</v>
      </c>
      <c r="BB16" s="373"/>
      <c r="BC16" s="373"/>
      <c r="BD16" s="373"/>
      <c r="BE16" s="373"/>
      <c r="BF16" s="373"/>
      <c r="BG16" s="373"/>
      <c r="BH16" s="10" t="s">
        <v>82</v>
      </c>
      <c r="BI16" s="10" t="s">
        <v>82</v>
      </c>
      <c r="BJ16" s="79"/>
      <c r="BK16" s="373" t="s">
        <v>132</v>
      </c>
      <c r="BL16" s="373"/>
      <c r="BM16" s="373"/>
      <c r="BN16" s="373"/>
      <c r="BO16" s="373"/>
      <c r="BP16" s="373"/>
      <c r="BQ16" s="373"/>
      <c r="BR16" s="4" t="s">
        <v>83</v>
      </c>
      <c r="BS16" s="4" t="s">
        <v>83</v>
      </c>
    </row>
    <row r="17" spans="2:71" ht="12.75">
      <c r="B17" s="34" t="s">
        <v>4</v>
      </c>
      <c r="C17" s="14"/>
      <c r="D17" s="320"/>
      <c r="E17" s="321"/>
      <c r="F17" s="322"/>
      <c r="G17" s="280"/>
      <c r="H17" s="14"/>
      <c r="I17" s="14"/>
      <c r="J17" s="14"/>
      <c r="K17" s="14"/>
      <c r="L17" s="14"/>
      <c r="M17" s="14"/>
      <c r="N17" s="35"/>
      <c r="O17" s="63"/>
      <c r="P17" s="331"/>
      <c r="Q17" s="78" t="s">
        <v>128</v>
      </c>
      <c r="R17" s="351"/>
      <c r="S17" s="62" t="s">
        <v>115</v>
      </c>
      <c r="T17" s="265"/>
      <c r="U17" s="66" t="s">
        <v>112</v>
      </c>
      <c r="V17" s="10">
        <v>1</v>
      </c>
      <c r="W17" s="10">
        <v>2</v>
      </c>
      <c r="X17" s="10">
        <v>3</v>
      </c>
      <c r="Y17" s="10">
        <v>4</v>
      </c>
      <c r="Z17" s="10">
        <v>5</v>
      </c>
      <c r="AB17" s="4" t="s">
        <v>80</v>
      </c>
      <c r="AC17" s="4" t="s">
        <v>81</v>
      </c>
      <c r="AD17" s="4" t="s">
        <v>82</v>
      </c>
      <c r="AE17" s="4" t="s">
        <v>83</v>
      </c>
      <c r="AF17" s="79"/>
      <c r="AG17" s="10" t="s">
        <v>53</v>
      </c>
      <c r="AH17" s="10" t="s">
        <v>46</v>
      </c>
      <c r="AI17" s="10" t="s">
        <v>48</v>
      </c>
      <c r="AJ17" s="10" t="s">
        <v>49</v>
      </c>
      <c r="AK17" s="10" t="s">
        <v>129</v>
      </c>
      <c r="AL17" s="39" t="s">
        <v>130</v>
      </c>
      <c r="AM17" s="39" t="s">
        <v>131</v>
      </c>
      <c r="AN17" s="10" t="s">
        <v>115</v>
      </c>
      <c r="AO17" s="10" t="s">
        <v>115</v>
      </c>
      <c r="AP17" s="61"/>
      <c r="AQ17" s="10" t="s">
        <v>53</v>
      </c>
      <c r="AR17" s="10" t="s">
        <v>46</v>
      </c>
      <c r="AS17" s="10" t="s">
        <v>48</v>
      </c>
      <c r="AT17" s="10" t="s">
        <v>49</v>
      </c>
      <c r="AU17" s="10" t="s">
        <v>129</v>
      </c>
      <c r="AV17" s="83" t="s">
        <v>130</v>
      </c>
      <c r="AW17" s="83" t="s">
        <v>131</v>
      </c>
      <c r="AX17" s="10" t="s">
        <v>115</v>
      </c>
      <c r="AY17" s="10" t="s">
        <v>115</v>
      </c>
      <c r="AZ17" s="79"/>
      <c r="BA17" s="10" t="s">
        <v>53</v>
      </c>
      <c r="BB17" s="10" t="s">
        <v>46</v>
      </c>
      <c r="BC17" s="10" t="s">
        <v>48</v>
      </c>
      <c r="BD17" s="10" t="s">
        <v>49</v>
      </c>
      <c r="BE17" s="10" t="s">
        <v>129</v>
      </c>
      <c r="BF17" s="39" t="s">
        <v>130</v>
      </c>
      <c r="BG17" s="39" t="s">
        <v>131</v>
      </c>
      <c r="BH17" s="10" t="s">
        <v>115</v>
      </c>
      <c r="BI17" s="10" t="s">
        <v>115</v>
      </c>
      <c r="BJ17" s="79"/>
      <c r="BK17" s="4" t="s">
        <v>53</v>
      </c>
      <c r="BL17" s="4" t="s">
        <v>46</v>
      </c>
      <c r="BM17" s="4" t="s">
        <v>48</v>
      </c>
      <c r="BN17" s="4" t="s">
        <v>49</v>
      </c>
      <c r="BO17" s="4" t="s">
        <v>129</v>
      </c>
      <c r="BP17" s="83" t="s">
        <v>130</v>
      </c>
      <c r="BQ17" s="83" t="s">
        <v>131</v>
      </c>
      <c r="BR17" s="4" t="s">
        <v>115</v>
      </c>
      <c r="BS17" s="4" t="s">
        <v>115</v>
      </c>
    </row>
    <row r="18" spans="2:71" ht="12.75">
      <c r="B18" s="38">
        <v>0</v>
      </c>
      <c r="C18" s="10"/>
      <c r="D18" s="312" t="s">
        <v>8</v>
      </c>
      <c r="E18" s="312"/>
      <c r="F18" s="312"/>
      <c r="G18" s="10" t="s">
        <v>8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37"/>
      <c r="O18" s="63"/>
      <c r="P18" s="14"/>
      <c r="Q18" s="14"/>
      <c r="R18" s="75"/>
      <c r="S18" s="13"/>
      <c r="T18" s="67"/>
      <c r="U18" s="67"/>
      <c r="V18" s="9"/>
      <c r="W18" s="9"/>
      <c r="X18" s="9"/>
      <c r="Y18" s="9"/>
      <c r="Z18" s="9"/>
      <c r="AB18" s="4"/>
      <c r="AC18" s="4"/>
      <c r="AD18" s="4"/>
      <c r="AE18" s="4"/>
      <c r="AF18" s="79"/>
      <c r="AG18" s="10"/>
      <c r="AH18" s="10"/>
      <c r="AI18" s="10"/>
      <c r="AJ18" s="10"/>
      <c r="AK18" s="10"/>
      <c r="AL18" s="10"/>
      <c r="AM18" s="10"/>
      <c r="AN18" s="10"/>
      <c r="AO18" s="10"/>
      <c r="AP18" s="74"/>
      <c r="AQ18" s="4"/>
      <c r="AR18" s="4"/>
      <c r="AS18" s="4"/>
      <c r="AT18" s="4"/>
      <c r="AU18" s="4"/>
      <c r="AV18" s="4"/>
      <c r="AW18" s="4"/>
      <c r="AX18" s="4"/>
      <c r="AY18" s="4"/>
      <c r="AZ18" s="79"/>
      <c r="BA18" s="10"/>
      <c r="BB18" s="10"/>
      <c r="BC18" s="10"/>
      <c r="BD18" s="10"/>
      <c r="BE18" s="10"/>
      <c r="BF18" s="10"/>
      <c r="BG18" s="10"/>
      <c r="BH18" s="10"/>
      <c r="BI18" s="10"/>
      <c r="BJ18" s="79"/>
      <c r="BK18" s="4"/>
      <c r="BL18" s="4"/>
      <c r="BM18" s="4"/>
      <c r="BN18" s="4"/>
      <c r="BO18" s="4"/>
      <c r="BP18" s="4"/>
      <c r="BQ18" s="4"/>
      <c r="BR18" s="4"/>
      <c r="BS18" s="4"/>
    </row>
    <row r="19" spans="2:71" ht="12.75">
      <c r="B19" s="38">
        <v>1</v>
      </c>
      <c r="C19" s="195"/>
      <c r="D19" s="311"/>
      <c r="E19" s="311"/>
      <c r="F19" s="311"/>
      <c r="G19" s="196"/>
      <c r="H19" s="195"/>
      <c r="I19" s="195"/>
      <c r="J19" s="195"/>
      <c r="K19" s="195"/>
      <c r="L19" s="195"/>
      <c r="M19" s="195"/>
      <c r="N19" s="197"/>
      <c r="O19" s="8">
        <f>IF(AND(C19&lt;&gt;"AM",C19&lt;&gt;"CC",C19&lt;&gt;"DF",C19&lt;&gt;"DF/FW",C19&lt;&gt;"DF/MF",C19&lt;&gt;"DLM",C19&lt;&gt;"DM",C19&lt;&gt;"FB",C19&lt;&gt;"FW",C19&lt;&gt;"GG",C19&lt;&gt;"GK",C19&lt;&gt;"GK/SW",C19&lt;&gt;"GS",C19&lt;&gt;"LK",C19&lt;&gt;"LS",C19&lt;&gt;"MF",C19&lt;&gt;"MF/FW",C19&lt;&gt;"MLM",C19&lt;&gt;"PP",C19&lt;&gt;"SS",C19&lt;&gt;"SUT",C19&lt;&gt;"SW",C19&lt;&gt;"UT",C19&lt;&gt;"WB",C19&lt;&gt;"WG",C19&lt;&gt;""),"ILLEGAL PLAYER TYPE","")</f>
      </c>
      <c r="P19" s="195"/>
      <c r="Q19" s="195"/>
      <c r="R19" s="76">
        <f aca="true" t="shared" si="0" ref="R19:R57">IF(G19="",0,IF(C19="","0",IF(G19="SB2",(T19/2),IF(G19="SB1",(T19/2),IF(G19="YTS",0,T19)))))</f>
        <v>0</v>
      </c>
      <c r="S19" s="10">
        <f>H19+P19+Q19</f>
        <v>0</v>
      </c>
      <c r="T19" s="64" t="e">
        <f aca="true" t="shared" si="1" ref="T19:T58">LOOKUP(C19,$B$101:$B$126,$C$101:$C$126)</f>
        <v>#N/A</v>
      </c>
      <c r="U19" s="64">
        <f>IF(H19+P19&lt;9,(R19*Q19),IF(H19+P19&gt;9,((Q19*R19)*2),IF(H19+P19=9,IF(Q19&gt;1,((R19*Q19)+1),(R19*Q19)))))</f>
        <v>0</v>
      </c>
      <c r="V19" s="195"/>
      <c r="W19" s="195"/>
      <c r="X19" s="195"/>
      <c r="Y19" s="195"/>
      <c r="Z19" s="195"/>
      <c r="AA19" s="215">
        <f>IF(S19&gt;I19,"ILLEGAL COACHING","")</f>
      </c>
      <c r="AB19" s="4">
        <f>IF(K19+V19&gt;24,"UT",C19)</f>
        <v>0</v>
      </c>
      <c r="AC19" s="4">
        <f>IF(K19+V19+W19&gt;24,"UT",C19)</f>
        <v>0</v>
      </c>
      <c r="AD19" s="4">
        <f>IF(K19+V19+W19+X19&gt;24,"UT",C19)</f>
        <v>0</v>
      </c>
      <c r="AE19" s="4">
        <f>IF(K19+V19+W19+X19+Y19&gt;24,"UT",C19)</f>
        <v>0</v>
      </c>
      <c r="AF19" s="79"/>
      <c r="AG19" s="10">
        <f>COUNTIF(Orders!$A$17:$A$36,B19)</f>
        <v>0</v>
      </c>
      <c r="AH19" s="10">
        <f aca="true" t="shared" si="2" ref="AH19:AH58">IF(G19="YTS",K19+AG19,0)</f>
        <v>0</v>
      </c>
      <c r="AI19" s="10">
        <f aca="true" t="shared" si="3" ref="AI19:AI58">IF(G19="APP",IF(S19&lt;1,K19+AG19,0),0)</f>
        <v>0</v>
      </c>
      <c r="AJ19" s="10">
        <f aca="true" t="shared" si="4" ref="AJ19:AJ58">IF(G19="SB1",IF(S19&lt;1,K19+AG19,0),0)</f>
        <v>0</v>
      </c>
      <c r="AK19" s="10">
        <f>IF(G19="SB2",IF(S19&lt;1,K19+AG19,0),0)</f>
        <v>0</v>
      </c>
      <c r="AL19" s="10">
        <f aca="true" t="shared" si="5" ref="AL19:AL58">IF(G19="-I",K19+AG19,0)</f>
        <v>0</v>
      </c>
      <c r="AM19" s="10">
        <f aca="true" t="shared" si="6" ref="AM19:AM58">IF(G19="-II",K19+AG19,0)</f>
        <v>0</v>
      </c>
      <c r="AN19" s="10">
        <f aca="true" t="shared" si="7" ref="AN19:AN58">S19+((AI19/5)*2)+(AH19/3)+((AJ19/6)*2)+((AK19/6)*2)+(AL19/4)+(AM19/4)</f>
        <v>0</v>
      </c>
      <c r="AO19" s="10">
        <f>IF(G19="YTS",INT(AN19),IF(AN19&lt;2,0,(INT(AN19))))</f>
        <v>0</v>
      </c>
      <c r="AP19" s="74"/>
      <c r="AQ19" s="4">
        <f>COUNTIF(Orders!$G$17:$G$36,B19)</f>
        <v>0</v>
      </c>
      <c r="AR19" s="10">
        <f aca="true" t="shared" si="8" ref="AR19:AR58">IF(G19="YTS",IF(AH19&lt;3,AH19+AQ19,AH19-3+AQ19),0)</f>
        <v>0</v>
      </c>
      <c r="AS19" s="10">
        <f aca="true" t="shared" si="9" ref="AS19:AS58">IF(G19="APP",IF(AO19&lt;1,IF(AI19&lt;5,AI19+AQ19,0),0),0)</f>
        <v>0</v>
      </c>
      <c r="AT19" s="10">
        <f aca="true" t="shared" si="10" ref="AT19:AT58">IF(G19="SB1",IF(AO19&lt;1,AJ19+AQ19,0),0)</f>
        <v>0</v>
      </c>
      <c r="AU19" s="10">
        <f aca="true" t="shared" si="11" ref="AU19:AU58">IF(G19="SB2",IF(AO19&lt;1,AK19+AQ19,0),0)</f>
        <v>0</v>
      </c>
      <c r="AV19" s="10">
        <f aca="true" t="shared" si="12" ref="AV19:AV58">IF(G19="-I",AL19+AQ19,0)</f>
        <v>0</v>
      </c>
      <c r="AW19" s="10">
        <f aca="true" t="shared" si="13" ref="AW19:AW58">IF(G19="-II",AM19+AQ19,0)</f>
        <v>0</v>
      </c>
      <c r="AX19" s="10">
        <f aca="true" t="shared" si="14" ref="AX19:AX58">AO19+((AS19/5)*2)+(AR19/3)+((AT19/6)*2)+((AU19/6)*2)+(AV19/4)+(AW19/4)</f>
        <v>0</v>
      </c>
      <c r="AY19" s="10">
        <f>IF(G19="YTS",INT(AX19),IF(AX19&lt;2,0,(INT(AX19))))</f>
        <v>0</v>
      </c>
      <c r="AZ19" s="79"/>
      <c r="BA19" s="4">
        <f>COUNTIF(Orders!$M$17:$M$36,B19)</f>
        <v>0</v>
      </c>
      <c r="BB19" s="10">
        <f aca="true" t="shared" si="15" ref="BB19:BB58">IF(G19="YTS",IF(AR19&lt;3,AR19+BA19,AR19-3+BA19),0)</f>
        <v>0</v>
      </c>
      <c r="BC19" s="10">
        <f aca="true" t="shared" si="16" ref="BC19:BC58">IF(G19="APP",IF(AY19&lt;1,IF(AS19&lt;5,AS19+BA19,0),0),0)</f>
        <v>0</v>
      </c>
      <c r="BD19" s="10">
        <f aca="true" t="shared" si="17" ref="BD19:BD58">IF(G19="SB1",IF(AY19&lt;1,AT19+BA19,0),0)</f>
        <v>0</v>
      </c>
      <c r="BE19" s="10">
        <f aca="true" t="shared" si="18" ref="BE19:BE58">IF(G19="SB2",IF(AY19&lt;1,AU19+BA19,0),0)</f>
        <v>0</v>
      </c>
      <c r="BF19" s="10">
        <f aca="true" t="shared" si="19" ref="BF19:BF58">IF(G19="-I",AV19+BA19,0)</f>
        <v>0</v>
      </c>
      <c r="BG19" s="10">
        <f aca="true" t="shared" si="20" ref="BG19:BG58">IF(G19="-II",AW19+BA19,0)</f>
        <v>0</v>
      </c>
      <c r="BH19" s="10">
        <f>AY19+((BC19/5)*2)+(BB19/3)+((BD19/6)*2)+((BE19/6)*2)+(BF19/4)+(BG19/4)</f>
        <v>0</v>
      </c>
      <c r="BI19" s="10">
        <f>IF(G19="YTS",INT(BH19),IF(BH19&lt;2,0,(INT(BH19))))</f>
        <v>0</v>
      </c>
      <c r="BJ19" s="79"/>
      <c r="BK19" s="4">
        <f>COUNTIF(Orders!$S$17:$S$36,B19)</f>
        <v>0</v>
      </c>
      <c r="BL19" s="10">
        <f aca="true" t="shared" si="21" ref="BL19:BL58">IF(G19="YTS",IF(BB19&lt;3,BB19+BK19,BB19-3+BK19),0)</f>
        <v>0</v>
      </c>
      <c r="BM19" s="10">
        <f aca="true" t="shared" si="22" ref="BM19:BM58">IF(G19="APP",IF(BI19&lt;1,IF(BC19&lt;5,BC19+BK19,0),0),0)</f>
        <v>0</v>
      </c>
      <c r="BN19" s="10">
        <f aca="true" t="shared" si="23" ref="BN19:BN58">IF(G19="SB1",IF(BI19&lt;1,BD19+BK19,0),0)</f>
        <v>0</v>
      </c>
      <c r="BO19" s="10">
        <f aca="true" t="shared" si="24" ref="BO19:BO58">IF(G19="SB2",IF(BI19&lt;1,BE19+BK19,0),0)</f>
        <v>0</v>
      </c>
      <c r="BP19" s="10">
        <f aca="true" t="shared" si="25" ref="BP19:BP58">IF(G19="-I",BF19+BA19,0)</f>
        <v>0</v>
      </c>
      <c r="BQ19" s="10">
        <f aca="true" t="shared" si="26" ref="BQ19:BQ58">IF(G19="-II",BG19+BK19,0)</f>
        <v>0</v>
      </c>
      <c r="BR19" s="10">
        <f>BI19+((BM19/5)*2)+(BL19/3)+((BN19/6)*2)+((BO19/6)*2)+(BP19/4)+(BQ19/4)</f>
        <v>0</v>
      </c>
      <c r="BS19" s="10">
        <f>IF(G19="YTS",INT(BR19),IF(BR19&lt;2,0,(INT(BR19))))</f>
        <v>0</v>
      </c>
    </row>
    <row r="20" spans="2:71" ht="12.75">
      <c r="B20" s="38">
        <f>B19+1</f>
        <v>2</v>
      </c>
      <c r="C20" s="195"/>
      <c r="D20" s="311"/>
      <c r="E20" s="311"/>
      <c r="F20" s="311"/>
      <c r="G20" s="196"/>
      <c r="H20" s="195"/>
      <c r="I20" s="195"/>
      <c r="J20" s="195"/>
      <c r="K20" s="195"/>
      <c r="L20" s="195"/>
      <c r="M20" s="195"/>
      <c r="N20" s="197"/>
      <c r="O20" s="8">
        <f aca="true" t="shared" si="27" ref="O20:O58">IF(AND(C20&lt;&gt;"AM",C20&lt;&gt;"CC",C20&lt;&gt;"DF",C20&lt;&gt;"DF/FW",C20&lt;&gt;"DF/MF",C20&lt;&gt;"DLM",C20&lt;&gt;"DM",C20&lt;&gt;"FB",C20&lt;&gt;"FW",C20&lt;&gt;"GG",C20&lt;&gt;"GK",C20&lt;&gt;"GK/SW",C20&lt;&gt;"GS",C20&lt;&gt;"LK",C20&lt;&gt;"LS",C20&lt;&gt;"MF",C20&lt;&gt;"MF/FW",C20&lt;&gt;"MLM",C20&lt;&gt;"PP",C20&lt;&gt;"SS",C20&lt;&gt;"SUT",C20&lt;&gt;"SW",C20&lt;&gt;"UT",C20&lt;&gt;"WB",C20&lt;&gt;"WG",C20&lt;&gt;""),"ILLEGAL PLAYER TYPE","")</f>
      </c>
      <c r="P20" s="195"/>
      <c r="Q20" s="195"/>
      <c r="R20" s="76">
        <f t="shared" si="0"/>
        <v>0</v>
      </c>
      <c r="S20" s="10">
        <f aca="true" t="shared" si="28" ref="S20:S58">H20+P20+Q20</f>
        <v>0</v>
      </c>
      <c r="T20" s="64" t="e">
        <f t="shared" si="1"/>
        <v>#N/A</v>
      </c>
      <c r="U20" s="64">
        <f aca="true" t="shared" si="29" ref="U20:U58">IF(H20+P20&lt;9,(R20*Q20),IF(H20+P20&gt;9,((Q20*R20)*2),IF(H20+P20=9,IF(Q20&gt;1,((R20*Q20)+1),(R20*Q20)))))</f>
        <v>0</v>
      </c>
      <c r="V20" s="195"/>
      <c r="W20" s="195"/>
      <c r="X20" s="195"/>
      <c r="Y20" s="195"/>
      <c r="Z20" s="195"/>
      <c r="AA20" s="215">
        <f aca="true" t="shared" si="30" ref="AA20:AA58">IF(S20&gt;I20,"ILLEGAL COACHING","")</f>
      </c>
      <c r="AB20" s="4">
        <f aca="true" t="shared" si="31" ref="AB20:AB58">IF(K20+V20&gt;24,"UT",C20)</f>
        <v>0</v>
      </c>
      <c r="AC20" s="4">
        <f aca="true" t="shared" si="32" ref="AC20:AC58">IF(K20+V20+W20&gt;24,"UT",C20)</f>
        <v>0</v>
      </c>
      <c r="AD20" s="4">
        <f aca="true" t="shared" si="33" ref="AD20:AD58">IF(K20+V20+W20+X20&gt;24,"UT",C20)</f>
        <v>0</v>
      </c>
      <c r="AE20" s="4">
        <f aca="true" t="shared" si="34" ref="AE20:AE58">IF(K20+V20+W20+X20+Y20&gt;24,"UT",C20)</f>
        <v>0</v>
      </c>
      <c r="AF20" s="79"/>
      <c r="AG20" s="10">
        <f>COUNTIF(Orders!$A$17:$A$36,B20)</f>
        <v>0</v>
      </c>
      <c r="AH20" s="10">
        <f t="shared" si="2"/>
        <v>0</v>
      </c>
      <c r="AI20" s="10">
        <f t="shared" si="3"/>
        <v>0</v>
      </c>
      <c r="AJ20" s="10">
        <f t="shared" si="4"/>
        <v>0</v>
      </c>
      <c r="AK20" s="10">
        <f aca="true" t="shared" si="35" ref="AK20:AK58">IF(G20="SB2",IF(S20&lt;1,K20+AG20,0),0)</f>
        <v>0</v>
      </c>
      <c r="AL20" s="10">
        <f t="shared" si="5"/>
        <v>0</v>
      </c>
      <c r="AM20" s="10">
        <f t="shared" si="6"/>
        <v>0</v>
      </c>
      <c r="AN20" s="10">
        <f t="shared" si="7"/>
        <v>0</v>
      </c>
      <c r="AO20" s="10">
        <f aca="true" t="shared" si="36" ref="AO20:AO58">IF(G20="YTS",INT(AN20),IF(AN20&lt;2,0,(INT(AN20))))</f>
        <v>0</v>
      </c>
      <c r="AP20" s="74"/>
      <c r="AQ20" s="4">
        <f>COUNTIF(Orders!$G$17:$G$36,B20)</f>
        <v>0</v>
      </c>
      <c r="AR20" s="10">
        <f t="shared" si="8"/>
        <v>0</v>
      </c>
      <c r="AS20" s="10">
        <f t="shared" si="9"/>
        <v>0</v>
      </c>
      <c r="AT20" s="10">
        <f t="shared" si="10"/>
        <v>0</v>
      </c>
      <c r="AU20" s="10">
        <f t="shared" si="11"/>
        <v>0</v>
      </c>
      <c r="AV20" s="10">
        <f t="shared" si="12"/>
        <v>0</v>
      </c>
      <c r="AW20" s="10">
        <f t="shared" si="13"/>
        <v>0</v>
      </c>
      <c r="AX20" s="10">
        <f t="shared" si="14"/>
        <v>0</v>
      </c>
      <c r="AY20" s="10">
        <f aca="true" t="shared" si="37" ref="AY20:AY58">IF(G20="YTS",INT(AX20),IF(AX20&lt;2,0,(INT(AX20))))</f>
        <v>0</v>
      </c>
      <c r="AZ20" s="79"/>
      <c r="BA20" s="4">
        <f>COUNTIF(Orders!$M$17:$M$36,B20)</f>
        <v>0</v>
      </c>
      <c r="BB20" s="10">
        <f t="shared" si="15"/>
        <v>0</v>
      </c>
      <c r="BC20" s="10">
        <f t="shared" si="16"/>
        <v>0</v>
      </c>
      <c r="BD20" s="10">
        <f t="shared" si="17"/>
        <v>0</v>
      </c>
      <c r="BE20" s="10">
        <f t="shared" si="18"/>
        <v>0</v>
      </c>
      <c r="BF20" s="10">
        <f t="shared" si="19"/>
        <v>0</v>
      </c>
      <c r="BG20" s="10">
        <f t="shared" si="20"/>
        <v>0</v>
      </c>
      <c r="BH20" s="10">
        <f aca="true" t="shared" si="38" ref="BH20:BH58">AY20+((BC20/5)*2)+(BB20/3)+((BD20/6)*2)+((BE20/6)*2)+(BF20/4)+(BG20/4)</f>
        <v>0</v>
      </c>
      <c r="BI20" s="10">
        <f aca="true" t="shared" si="39" ref="BI20:BI58">IF(G20="YTS",INT(BH20),IF(BH20&lt;2,0,(INT(BH20))))</f>
        <v>0</v>
      </c>
      <c r="BJ20" s="79"/>
      <c r="BK20" s="4">
        <f>COUNTIF(Orders!$S$17:$S$36,B20)</f>
        <v>0</v>
      </c>
      <c r="BL20" s="10">
        <f t="shared" si="21"/>
        <v>0</v>
      </c>
      <c r="BM20" s="10">
        <f t="shared" si="22"/>
        <v>0</v>
      </c>
      <c r="BN20" s="10">
        <f t="shared" si="23"/>
        <v>0</v>
      </c>
      <c r="BO20" s="10">
        <f t="shared" si="24"/>
        <v>0</v>
      </c>
      <c r="BP20" s="10">
        <f t="shared" si="25"/>
        <v>0</v>
      </c>
      <c r="BQ20" s="10">
        <f t="shared" si="26"/>
        <v>0</v>
      </c>
      <c r="BR20" s="10">
        <f aca="true" t="shared" si="40" ref="BR20:BR58">BI20+((BM20/5)*2)+(BL20/3)+((BN20/6)*2)+((BO20/6)*2)+(BP20/4)+(BQ20/4)</f>
        <v>0</v>
      </c>
      <c r="BS20" s="10">
        <f aca="true" t="shared" si="41" ref="BS20:BS58">IF(G20="YTS",INT(BR20),IF(BR20&lt;2,0,(INT(BR20))))</f>
        <v>0</v>
      </c>
    </row>
    <row r="21" spans="2:71" ht="12.75">
      <c r="B21" s="38">
        <f aca="true" t="shared" si="42" ref="B21:B59">B20+1</f>
        <v>3</v>
      </c>
      <c r="C21" s="195"/>
      <c r="D21" s="311"/>
      <c r="E21" s="311"/>
      <c r="F21" s="311"/>
      <c r="G21" s="196"/>
      <c r="H21" s="195"/>
      <c r="I21" s="195"/>
      <c r="J21" s="195"/>
      <c r="K21" s="195"/>
      <c r="L21" s="195"/>
      <c r="M21" s="195"/>
      <c r="N21" s="197"/>
      <c r="O21" s="8">
        <f t="shared" si="27"/>
      </c>
      <c r="P21" s="195"/>
      <c r="Q21" s="195"/>
      <c r="R21" s="76">
        <f t="shared" si="0"/>
        <v>0</v>
      </c>
      <c r="S21" s="10">
        <f t="shared" si="28"/>
        <v>0</v>
      </c>
      <c r="T21" s="64" t="e">
        <f t="shared" si="1"/>
        <v>#N/A</v>
      </c>
      <c r="U21" s="64">
        <f t="shared" si="29"/>
        <v>0</v>
      </c>
      <c r="V21" s="195"/>
      <c r="W21" s="195"/>
      <c r="X21" s="195"/>
      <c r="Y21" s="195"/>
      <c r="Z21" s="195"/>
      <c r="AA21" s="215">
        <f t="shared" si="30"/>
      </c>
      <c r="AB21" s="4">
        <f t="shared" si="31"/>
        <v>0</v>
      </c>
      <c r="AC21" s="4">
        <f t="shared" si="32"/>
        <v>0</v>
      </c>
      <c r="AD21" s="4">
        <f t="shared" si="33"/>
        <v>0</v>
      </c>
      <c r="AE21" s="4">
        <f t="shared" si="34"/>
        <v>0</v>
      </c>
      <c r="AF21" s="79"/>
      <c r="AG21" s="10">
        <f>COUNTIF(Orders!$A$17:$A$36,B21)</f>
        <v>0</v>
      </c>
      <c r="AH21" s="10">
        <f t="shared" si="2"/>
        <v>0</v>
      </c>
      <c r="AI21" s="10">
        <f t="shared" si="3"/>
        <v>0</v>
      </c>
      <c r="AJ21" s="10">
        <f t="shared" si="4"/>
        <v>0</v>
      </c>
      <c r="AK21" s="10">
        <f t="shared" si="35"/>
        <v>0</v>
      </c>
      <c r="AL21" s="10">
        <f t="shared" si="5"/>
        <v>0</v>
      </c>
      <c r="AM21" s="10">
        <f t="shared" si="6"/>
        <v>0</v>
      </c>
      <c r="AN21" s="10">
        <f t="shared" si="7"/>
        <v>0</v>
      </c>
      <c r="AO21" s="10">
        <f t="shared" si="36"/>
        <v>0</v>
      </c>
      <c r="AP21" s="74"/>
      <c r="AQ21" s="4">
        <f>COUNTIF(Orders!$G$17:$G$36,B21)</f>
        <v>0</v>
      </c>
      <c r="AR21" s="10">
        <f t="shared" si="8"/>
        <v>0</v>
      </c>
      <c r="AS21" s="10">
        <f t="shared" si="9"/>
        <v>0</v>
      </c>
      <c r="AT21" s="10">
        <f t="shared" si="10"/>
        <v>0</v>
      </c>
      <c r="AU21" s="10">
        <f t="shared" si="11"/>
        <v>0</v>
      </c>
      <c r="AV21" s="10">
        <f t="shared" si="12"/>
        <v>0</v>
      </c>
      <c r="AW21" s="10">
        <f t="shared" si="13"/>
        <v>0</v>
      </c>
      <c r="AX21" s="10">
        <f>AO21+((AS21/5)*2)+(AR21/3)+((AT21/6)*2)+((AU21/6)*2)+(AV21/4)+(AW21/4)</f>
        <v>0</v>
      </c>
      <c r="AY21" s="10">
        <f t="shared" si="37"/>
        <v>0</v>
      </c>
      <c r="AZ21" s="79"/>
      <c r="BA21" s="4">
        <f>COUNTIF(Orders!$M$17:$M$36,B21)</f>
        <v>0</v>
      </c>
      <c r="BB21" s="10">
        <f t="shared" si="15"/>
        <v>0</v>
      </c>
      <c r="BC21" s="10">
        <f t="shared" si="16"/>
        <v>0</v>
      </c>
      <c r="BD21" s="10">
        <f t="shared" si="17"/>
        <v>0</v>
      </c>
      <c r="BE21" s="10">
        <f t="shared" si="18"/>
        <v>0</v>
      </c>
      <c r="BF21" s="10">
        <f t="shared" si="19"/>
        <v>0</v>
      </c>
      <c r="BG21" s="10">
        <f t="shared" si="20"/>
        <v>0</v>
      </c>
      <c r="BH21" s="10">
        <f t="shared" si="38"/>
        <v>0</v>
      </c>
      <c r="BI21" s="10">
        <f t="shared" si="39"/>
        <v>0</v>
      </c>
      <c r="BJ21" s="79"/>
      <c r="BK21" s="4">
        <f>COUNTIF(Orders!$S$17:$S$36,B21)</f>
        <v>0</v>
      </c>
      <c r="BL21" s="10">
        <f t="shared" si="21"/>
        <v>0</v>
      </c>
      <c r="BM21" s="10">
        <f t="shared" si="22"/>
        <v>0</v>
      </c>
      <c r="BN21" s="10">
        <f t="shared" si="23"/>
        <v>0</v>
      </c>
      <c r="BO21" s="10">
        <f t="shared" si="24"/>
        <v>0</v>
      </c>
      <c r="BP21" s="10">
        <f t="shared" si="25"/>
        <v>0</v>
      </c>
      <c r="BQ21" s="10">
        <f t="shared" si="26"/>
        <v>0</v>
      </c>
      <c r="BR21" s="10">
        <f t="shared" si="40"/>
        <v>0</v>
      </c>
      <c r="BS21" s="10">
        <f t="shared" si="41"/>
        <v>0</v>
      </c>
    </row>
    <row r="22" spans="2:71" ht="12.75">
      <c r="B22" s="38">
        <f t="shared" si="42"/>
        <v>4</v>
      </c>
      <c r="C22" s="195"/>
      <c r="D22" s="311"/>
      <c r="E22" s="311"/>
      <c r="F22" s="311"/>
      <c r="G22" s="196"/>
      <c r="H22" s="195"/>
      <c r="I22" s="195"/>
      <c r="J22" s="195"/>
      <c r="K22" s="195"/>
      <c r="L22" s="195"/>
      <c r="M22" s="195"/>
      <c r="N22" s="197"/>
      <c r="O22" s="8">
        <f t="shared" si="27"/>
      </c>
      <c r="P22" s="195"/>
      <c r="Q22" s="195"/>
      <c r="R22" s="76">
        <f t="shared" si="0"/>
        <v>0</v>
      </c>
      <c r="S22" s="10">
        <f t="shared" si="28"/>
        <v>0</v>
      </c>
      <c r="T22" s="64" t="e">
        <f t="shared" si="1"/>
        <v>#N/A</v>
      </c>
      <c r="U22" s="64">
        <f t="shared" si="29"/>
        <v>0</v>
      </c>
      <c r="V22" s="195"/>
      <c r="W22" s="195"/>
      <c r="X22" s="195"/>
      <c r="Y22" s="195"/>
      <c r="Z22" s="195"/>
      <c r="AA22" s="215">
        <f t="shared" si="30"/>
      </c>
      <c r="AB22" s="4">
        <f t="shared" si="31"/>
        <v>0</v>
      </c>
      <c r="AC22" s="4">
        <f t="shared" si="32"/>
        <v>0</v>
      </c>
      <c r="AD22" s="4">
        <f t="shared" si="33"/>
        <v>0</v>
      </c>
      <c r="AE22" s="4">
        <f t="shared" si="34"/>
        <v>0</v>
      </c>
      <c r="AF22" s="79"/>
      <c r="AG22" s="10">
        <f>COUNTIF(Orders!$A$17:$A$36,B22)</f>
        <v>0</v>
      </c>
      <c r="AH22" s="10">
        <f t="shared" si="2"/>
        <v>0</v>
      </c>
      <c r="AI22" s="10">
        <f t="shared" si="3"/>
        <v>0</v>
      </c>
      <c r="AJ22" s="10">
        <f t="shared" si="4"/>
        <v>0</v>
      </c>
      <c r="AK22" s="10">
        <f t="shared" si="35"/>
        <v>0</v>
      </c>
      <c r="AL22" s="10">
        <f t="shared" si="5"/>
        <v>0</v>
      </c>
      <c r="AM22" s="10">
        <f t="shared" si="6"/>
        <v>0</v>
      </c>
      <c r="AN22" s="10">
        <f t="shared" si="7"/>
        <v>0</v>
      </c>
      <c r="AO22" s="10">
        <f t="shared" si="36"/>
        <v>0</v>
      </c>
      <c r="AP22" s="74"/>
      <c r="AQ22" s="4">
        <f>COUNTIF(Orders!$G$17:$G$36,B22)</f>
        <v>0</v>
      </c>
      <c r="AR22" s="10">
        <f t="shared" si="8"/>
        <v>0</v>
      </c>
      <c r="AS22" s="10">
        <f t="shared" si="9"/>
        <v>0</v>
      </c>
      <c r="AT22" s="10">
        <f t="shared" si="10"/>
        <v>0</v>
      </c>
      <c r="AU22" s="10">
        <f t="shared" si="11"/>
        <v>0</v>
      </c>
      <c r="AV22" s="10">
        <f t="shared" si="12"/>
        <v>0</v>
      </c>
      <c r="AW22" s="10">
        <f t="shared" si="13"/>
        <v>0</v>
      </c>
      <c r="AX22" s="10">
        <f t="shared" si="14"/>
        <v>0</v>
      </c>
      <c r="AY22" s="10">
        <f t="shared" si="37"/>
        <v>0</v>
      </c>
      <c r="AZ22" s="79"/>
      <c r="BA22" s="4">
        <f>COUNTIF(Orders!$M$17:$M$36,B22)</f>
        <v>0</v>
      </c>
      <c r="BB22" s="10">
        <f t="shared" si="15"/>
        <v>0</v>
      </c>
      <c r="BC22" s="10">
        <f t="shared" si="16"/>
        <v>0</v>
      </c>
      <c r="BD22" s="10">
        <f t="shared" si="17"/>
        <v>0</v>
      </c>
      <c r="BE22" s="10">
        <f t="shared" si="18"/>
        <v>0</v>
      </c>
      <c r="BF22" s="10">
        <f t="shared" si="19"/>
        <v>0</v>
      </c>
      <c r="BG22" s="10">
        <f t="shared" si="20"/>
        <v>0</v>
      </c>
      <c r="BH22" s="10">
        <f t="shared" si="38"/>
        <v>0</v>
      </c>
      <c r="BI22" s="10">
        <f t="shared" si="39"/>
        <v>0</v>
      </c>
      <c r="BJ22" s="79"/>
      <c r="BK22" s="4">
        <f>COUNTIF(Orders!$S$17:$S$36,B22)</f>
        <v>0</v>
      </c>
      <c r="BL22" s="10">
        <f t="shared" si="21"/>
        <v>0</v>
      </c>
      <c r="BM22" s="10">
        <f t="shared" si="22"/>
        <v>0</v>
      </c>
      <c r="BN22" s="10">
        <f t="shared" si="23"/>
        <v>0</v>
      </c>
      <c r="BO22" s="10">
        <f t="shared" si="24"/>
        <v>0</v>
      </c>
      <c r="BP22" s="10">
        <f t="shared" si="25"/>
        <v>0</v>
      </c>
      <c r="BQ22" s="10">
        <f t="shared" si="26"/>
        <v>0</v>
      </c>
      <c r="BR22" s="10">
        <f t="shared" si="40"/>
        <v>0</v>
      </c>
      <c r="BS22" s="10">
        <f t="shared" si="41"/>
        <v>0</v>
      </c>
    </row>
    <row r="23" spans="2:71" ht="12.75">
      <c r="B23" s="38">
        <f t="shared" si="42"/>
        <v>5</v>
      </c>
      <c r="C23" s="195"/>
      <c r="D23" s="311"/>
      <c r="E23" s="311"/>
      <c r="F23" s="311"/>
      <c r="G23" s="196"/>
      <c r="H23" s="195"/>
      <c r="I23" s="195"/>
      <c r="J23" s="195"/>
      <c r="K23" s="195"/>
      <c r="L23" s="195"/>
      <c r="M23" s="195"/>
      <c r="N23" s="197"/>
      <c r="O23" s="8">
        <f t="shared" si="27"/>
      </c>
      <c r="P23" s="195"/>
      <c r="Q23" s="195"/>
      <c r="R23" s="76">
        <f t="shared" si="0"/>
        <v>0</v>
      </c>
      <c r="S23" s="10">
        <f t="shared" si="28"/>
        <v>0</v>
      </c>
      <c r="T23" s="64" t="e">
        <f t="shared" si="1"/>
        <v>#N/A</v>
      </c>
      <c r="U23" s="64">
        <f t="shared" si="29"/>
        <v>0</v>
      </c>
      <c r="V23" s="195"/>
      <c r="W23" s="195"/>
      <c r="X23" s="195"/>
      <c r="Y23" s="195"/>
      <c r="Z23" s="195"/>
      <c r="AA23" s="215">
        <f t="shared" si="30"/>
      </c>
      <c r="AB23" s="4">
        <f t="shared" si="31"/>
        <v>0</v>
      </c>
      <c r="AC23" s="4">
        <f t="shared" si="32"/>
        <v>0</v>
      </c>
      <c r="AD23" s="4">
        <f t="shared" si="33"/>
        <v>0</v>
      </c>
      <c r="AE23" s="4">
        <f t="shared" si="34"/>
        <v>0</v>
      </c>
      <c r="AF23" s="79"/>
      <c r="AG23" s="10">
        <f>COUNTIF(Orders!$A$17:$A$36,B23)</f>
        <v>0</v>
      </c>
      <c r="AH23" s="10">
        <f t="shared" si="2"/>
        <v>0</v>
      </c>
      <c r="AI23" s="10">
        <f t="shared" si="3"/>
        <v>0</v>
      </c>
      <c r="AJ23" s="10">
        <f t="shared" si="4"/>
        <v>0</v>
      </c>
      <c r="AK23" s="10">
        <f t="shared" si="35"/>
        <v>0</v>
      </c>
      <c r="AL23" s="10">
        <f t="shared" si="5"/>
        <v>0</v>
      </c>
      <c r="AM23" s="10">
        <f t="shared" si="6"/>
        <v>0</v>
      </c>
      <c r="AN23" s="10">
        <f t="shared" si="7"/>
        <v>0</v>
      </c>
      <c r="AO23" s="10">
        <f t="shared" si="36"/>
        <v>0</v>
      </c>
      <c r="AP23" s="74"/>
      <c r="AQ23" s="4">
        <f>COUNTIF(Orders!$G$17:$G$36,B23)</f>
        <v>0</v>
      </c>
      <c r="AR23" s="10">
        <f t="shared" si="8"/>
        <v>0</v>
      </c>
      <c r="AS23" s="10">
        <f t="shared" si="9"/>
        <v>0</v>
      </c>
      <c r="AT23" s="10">
        <f t="shared" si="10"/>
        <v>0</v>
      </c>
      <c r="AU23" s="10">
        <f t="shared" si="11"/>
        <v>0</v>
      </c>
      <c r="AV23" s="10">
        <f t="shared" si="12"/>
        <v>0</v>
      </c>
      <c r="AW23" s="10">
        <f t="shared" si="13"/>
        <v>0</v>
      </c>
      <c r="AX23" s="10">
        <f t="shared" si="14"/>
        <v>0</v>
      </c>
      <c r="AY23" s="10">
        <f t="shared" si="37"/>
        <v>0</v>
      </c>
      <c r="AZ23" s="79"/>
      <c r="BA23" s="4">
        <f>COUNTIF(Orders!$M$17:$M$36,B23)</f>
        <v>0</v>
      </c>
      <c r="BB23" s="10">
        <f t="shared" si="15"/>
        <v>0</v>
      </c>
      <c r="BC23" s="10">
        <f t="shared" si="16"/>
        <v>0</v>
      </c>
      <c r="BD23" s="10">
        <f t="shared" si="17"/>
        <v>0</v>
      </c>
      <c r="BE23" s="10">
        <f t="shared" si="18"/>
        <v>0</v>
      </c>
      <c r="BF23" s="10">
        <f t="shared" si="19"/>
        <v>0</v>
      </c>
      <c r="BG23" s="10">
        <f t="shared" si="20"/>
        <v>0</v>
      </c>
      <c r="BH23" s="10">
        <f t="shared" si="38"/>
        <v>0</v>
      </c>
      <c r="BI23" s="10">
        <f t="shared" si="39"/>
        <v>0</v>
      </c>
      <c r="BJ23" s="79"/>
      <c r="BK23" s="4">
        <f>COUNTIF(Orders!$S$17:$S$36,B23)</f>
        <v>0</v>
      </c>
      <c r="BL23" s="10">
        <f t="shared" si="21"/>
        <v>0</v>
      </c>
      <c r="BM23" s="10">
        <f t="shared" si="22"/>
        <v>0</v>
      </c>
      <c r="BN23" s="10">
        <f t="shared" si="23"/>
        <v>0</v>
      </c>
      <c r="BO23" s="10">
        <f t="shared" si="24"/>
        <v>0</v>
      </c>
      <c r="BP23" s="10">
        <f t="shared" si="25"/>
        <v>0</v>
      </c>
      <c r="BQ23" s="10">
        <f t="shared" si="26"/>
        <v>0</v>
      </c>
      <c r="BR23" s="10">
        <f t="shared" si="40"/>
        <v>0</v>
      </c>
      <c r="BS23" s="10">
        <f t="shared" si="41"/>
        <v>0</v>
      </c>
    </row>
    <row r="24" spans="2:71" ht="12.75">
      <c r="B24" s="38">
        <f t="shared" si="42"/>
        <v>6</v>
      </c>
      <c r="C24" s="195"/>
      <c r="D24" s="311"/>
      <c r="E24" s="311"/>
      <c r="F24" s="311"/>
      <c r="G24" s="196"/>
      <c r="H24" s="195"/>
      <c r="I24" s="195"/>
      <c r="J24" s="195"/>
      <c r="K24" s="195"/>
      <c r="L24" s="195"/>
      <c r="M24" s="195"/>
      <c r="N24" s="197"/>
      <c r="O24" s="8">
        <f t="shared" si="27"/>
      </c>
      <c r="P24" s="195"/>
      <c r="Q24" s="195"/>
      <c r="R24" s="76">
        <f t="shared" si="0"/>
        <v>0</v>
      </c>
      <c r="S24" s="10">
        <f t="shared" si="28"/>
        <v>0</v>
      </c>
      <c r="T24" s="64" t="e">
        <f t="shared" si="1"/>
        <v>#N/A</v>
      </c>
      <c r="U24" s="64">
        <f t="shared" si="29"/>
        <v>0</v>
      </c>
      <c r="V24" s="195"/>
      <c r="W24" s="195"/>
      <c r="X24" s="195"/>
      <c r="Y24" s="195"/>
      <c r="Z24" s="195"/>
      <c r="AA24" s="215">
        <f t="shared" si="30"/>
      </c>
      <c r="AB24" s="4">
        <f t="shared" si="31"/>
        <v>0</v>
      </c>
      <c r="AC24" s="4">
        <f t="shared" si="32"/>
        <v>0</v>
      </c>
      <c r="AD24" s="4">
        <f t="shared" si="33"/>
        <v>0</v>
      </c>
      <c r="AE24" s="4">
        <f t="shared" si="34"/>
        <v>0</v>
      </c>
      <c r="AF24" s="79"/>
      <c r="AG24" s="10">
        <f>COUNTIF(Orders!$A$17:$A$36,B24)</f>
        <v>0</v>
      </c>
      <c r="AH24" s="10">
        <f t="shared" si="2"/>
        <v>0</v>
      </c>
      <c r="AI24" s="10">
        <f t="shared" si="3"/>
        <v>0</v>
      </c>
      <c r="AJ24" s="10">
        <f t="shared" si="4"/>
        <v>0</v>
      </c>
      <c r="AK24" s="10">
        <f t="shared" si="35"/>
        <v>0</v>
      </c>
      <c r="AL24" s="10">
        <f t="shared" si="5"/>
        <v>0</v>
      </c>
      <c r="AM24" s="10">
        <f t="shared" si="6"/>
        <v>0</v>
      </c>
      <c r="AN24" s="10">
        <f t="shared" si="7"/>
        <v>0</v>
      </c>
      <c r="AO24" s="10">
        <f t="shared" si="36"/>
        <v>0</v>
      </c>
      <c r="AP24" s="74"/>
      <c r="AQ24" s="4">
        <f>COUNTIF(Orders!$G$17:$G$36,B24)</f>
        <v>0</v>
      </c>
      <c r="AR24" s="10">
        <f t="shared" si="8"/>
        <v>0</v>
      </c>
      <c r="AS24" s="10">
        <f t="shared" si="9"/>
        <v>0</v>
      </c>
      <c r="AT24" s="10">
        <f t="shared" si="10"/>
        <v>0</v>
      </c>
      <c r="AU24" s="10">
        <f t="shared" si="11"/>
        <v>0</v>
      </c>
      <c r="AV24" s="10">
        <f t="shared" si="12"/>
        <v>0</v>
      </c>
      <c r="AW24" s="10">
        <f t="shared" si="13"/>
        <v>0</v>
      </c>
      <c r="AX24" s="10">
        <f t="shared" si="14"/>
        <v>0</v>
      </c>
      <c r="AY24" s="10">
        <f t="shared" si="37"/>
        <v>0</v>
      </c>
      <c r="AZ24" s="79"/>
      <c r="BA24" s="4">
        <f>COUNTIF(Orders!$M$17:$M$36,B24)</f>
        <v>0</v>
      </c>
      <c r="BB24" s="10">
        <f t="shared" si="15"/>
        <v>0</v>
      </c>
      <c r="BC24" s="10">
        <f t="shared" si="16"/>
        <v>0</v>
      </c>
      <c r="BD24" s="10">
        <f t="shared" si="17"/>
        <v>0</v>
      </c>
      <c r="BE24" s="10">
        <f t="shared" si="18"/>
        <v>0</v>
      </c>
      <c r="BF24" s="10">
        <f t="shared" si="19"/>
        <v>0</v>
      </c>
      <c r="BG24" s="10">
        <f t="shared" si="20"/>
        <v>0</v>
      </c>
      <c r="BH24" s="10">
        <f t="shared" si="38"/>
        <v>0</v>
      </c>
      <c r="BI24" s="10">
        <f t="shared" si="39"/>
        <v>0</v>
      </c>
      <c r="BJ24" s="79"/>
      <c r="BK24" s="4">
        <f>COUNTIF(Orders!$S$17:$S$36,B24)</f>
        <v>0</v>
      </c>
      <c r="BL24" s="10">
        <f t="shared" si="21"/>
        <v>0</v>
      </c>
      <c r="BM24" s="10">
        <f t="shared" si="22"/>
        <v>0</v>
      </c>
      <c r="BN24" s="10">
        <f t="shared" si="23"/>
        <v>0</v>
      </c>
      <c r="BO24" s="10">
        <f t="shared" si="24"/>
        <v>0</v>
      </c>
      <c r="BP24" s="10">
        <f t="shared" si="25"/>
        <v>0</v>
      </c>
      <c r="BQ24" s="10">
        <f t="shared" si="26"/>
        <v>0</v>
      </c>
      <c r="BR24" s="10">
        <f t="shared" si="40"/>
        <v>0</v>
      </c>
      <c r="BS24" s="10">
        <f t="shared" si="41"/>
        <v>0</v>
      </c>
    </row>
    <row r="25" spans="2:71" ht="12.75">
      <c r="B25" s="38">
        <f t="shared" si="42"/>
        <v>7</v>
      </c>
      <c r="C25" s="195"/>
      <c r="D25" s="311"/>
      <c r="E25" s="311"/>
      <c r="F25" s="311"/>
      <c r="G25" s="196"/>
      <c r="H25" s="195"/>
      <c r="I25" s="195"/>
      <c r="J25" s="195"/>
      <c r="K25" s="195"/>
      <c r="L25" s="195"/>
      <c r="M25" s="195"/>
      <c r="N25" s="197"/>
      <c r="O25" s="8">
        <f t="shared" si="27"/>
      </c>
      <c r="P25" s="195"/>
      <c r="Q25" s="195"/>
      <c r="R25" s="76">
        <f t="shared" si="0"/>
        <v>0</v>
      </c>
      <c r="S25" s="10">
        <f t="shared" si="28"/>
        <v>0</v>
      </c>
      <c r="T25" s="64" t="e">
        <f t="shared" si="1"/>
        <v>#N/A</v>
      </c>
      <c r="U25" s="64">
        <f t="shared" si="29"/>
        <v>0</v>
      </c>
      <c r="V25" s="195"/>
      <c r="W25" s="195"/>
      <c r="X25" s="195"/>
      <c r="Y25" s="195"/>
      <c r="Z25" s="195"/>
      <c r="AA25" s="215">
        <f t="shared" si="30"/>
      </c>
      <c r="AB25" s="4">
        <f t="shared" si="31"/>
        <v>0</v>
      </c>
      <c r="AC25" s="4">
        <f t="shared" si="32"/>
        <v>0</v>
      </c>
      <c r="AD25" s="4">
        <f t="shared" si="33"/>
        <v>0</v>
      </c>
      <c r="AE25" s="4">
        <f t="shared" si="34"/>
        <v>0</v>
      </c>
      <c r="AF25" s="79"/>
      <c r="AG25" s="10">
        <f>COUNTIF(Orders!$A$17:$A$36,B25)</f>
        <v>0</v>
      </c>
      <c r="AH25" s="10">
        <f t="shared" si="2"/>
        <v>0</v>
      </c>
      <c r="AI25" s="10">
        <f t="shared" si="3"/>
        <v>0</v>
      </c>
      <c r="AJ25" s="10">
        <f t="shared" si="4"/>
        <v>0</v>
      </c>
      <c r="AK25" s="10">
        <f t="shared" si="35"/>
        <v>0</v>
      </c>
      <c r="AL25" s="10">
        <f t="shared" si="5"/>
        <v>0</v>
      </c>
      <c r="AM25" s="10">
        <f t="shared" si="6"/>
        <v>0</v>
      </c>
      <c r="AN25" s="10">
        <f t="shared" si="7"/>
        <v>0</v>
      </c>
      <c r="AO25" s="10">
        <f t="shared" si="36"/>
        <v>0</v>
      </c>
      <c r="AP25" s="74"/>
      <c r="AQ25" s="4">
        <f>COUNTIF(Orders!$G$17:$G$36,B25)</f>
        <v>0</v>
      </c>
      <c r="AR25" s="10">
        <f t="shared" si="8"/>
        <v>0</v>
      </c>
      <c r="AS25" s="10">
        <f t="shared" si="9"/>
        <v>0</v>
      </c>
      <c r="AT25" s="10">
        <f t="shared" si="10"/>
        <v>0</v>
      </c>
      <c r="AU25" s="10">
        <f t="shared" si="11"/>
        <v>0</v>
      </c>
      <c r="AV25" s="10">
        <f t="shared" si="12"/>
        <v>0</v>
      </c>
      <c r="AW25" s="10">
        <f t="shared" si="13"/>
        <v>0</v>
      </c>
      <c r="AX25" s="10">
        <f t="shared" si="14"/>
        <v>0</v>
      </c>
      <c r="AY25" s="10">
        <f t="shared" si="37"/>
        <v>0</v>
      </c>
      <c r="AZ25" s="79"/>
      <c r="BA25" s="4">
        <f>COUNTIF(Orders!$M$17:$M$36,B25)</f>
        <v>0</v>
      </c>
      <c r="BB25" s="10">
        <f t="shared" si="15"/>
        <v>0</v>
      </c>
      <c r="BC25" s="10">
        <f t="shared" si="16"/>
        <v>0</v>
      </c>
      <c r="BD25" s="10">
        <f t="shared" si="17"/>
        <v>0</v>
      </c>
      <c r="BE25" s="10">
        <f t="shared" si="18"/>
        <v>0</v>
      </c>
      <c r="BF25" s="10">
        <f t="shared" si="19"/>
        <v>0</v>
      </c>
      <c r="BG25" s="10">
        <f t="shared" si="20"/>
        <v>0</v>
      </c>
      <c r="BH25" s="10">
        <f t="shared" si="38"/>
        <v>0</v>
      </c>
      <c r="BI25" s="10">
        <f t="shared" si="39"/>
        <v>0</v>
      </c>
      <c r="BJ25" s="79"/>
      <c r="BK25" s="4">
        <f>COUNTIF(Orders!$S$17:$S$36,B25)</f>
        <v>0</v>
      </c>
      <c r="BL25" s="10">
        <f t="shared" si="21"/>
        <v>0</v>
      </c>
      <c r="BM25" s="10">
        <f t="shared" si="22"/>
        <v>0</v>
      </c>
      <c r="BN25" s="10">
        <f t="shared" si="23"/>
        <v>0</v>
      </c>
      <c r="BO25" s="10">
        <f t="shared" si="24"/>
        <v>0</v>
      </c>
      <c r="BP25" s="10">
        <f t="shared" si="25"/>
        <v>0</v>
      </c>
      <c r="BQ25" s="10">
        <f t="shared" si="26"/>
        <v>0</v>
      </c>
      <c r="BR25" s="10">
        <f t="shared" si="40"/>
        <v>0</v>
      </c>
      <c r="BS25" s="10">
        <f t="shared" si="41"/>
        <v>0</v>
      </c>
    </row>
    <row r="26" spans="2:71" ht="12.75">
      <c r="B26" s="38">
        <f t="shared" si="42"/>
        <v>8</v>
      </c>
      <c r="C26" s="195"/>
      <c r="D26" s="311"/>
      <c r="E26" s="311"/>
      <c r="F26" s="311"/>
      <c r="G26" s="196"/>
      <c r="H26" s="195"/>
      <c r="I26" s="195"/>
      <c r="J26" s="195"/>
      <c r="K26" s="195"/>
      <c r="L26" s="195"/>
      <c r="M26" s="195"/>
      <c r="N26" s="197"/>
      <c r="O26" s="8">
        <f t="shared" si="27"/>
      </c>
      <c r="P26" s="195"/>
      <c r="Q26" s="195"/>
      <c r="R26" s="76">
        <f t="shared" si="0"/>
        <v>0</v>
      </c>
      <c r="S26" s="10">
        <f t="shared" si="28"/>
        <v>0</v>
      </c>
      <c r="T26" s="64" t="e">
        <f t="shared" si="1"/>
        <v>#N/A</v>
      </c>
      <c r="U26" s="64">
        <f t="shared" si="29"/>
        <v>0</v>
      </c>
      <c r="V26" s="195"/>
      <c r="W26" s="195"/>
      <c r="X26" s="195"/>
      <c r="Y26" s="195"/>
      <c r="Z26" s="195"/>
      <c r="AA26" s="215">
        <f t="shared" si="30"/>
      </c>
      <c r="AB26" s="4">
        <f t="shared" si="31"/>
        <v>0</v>
      </c>
      <c r="AC26" s="4">
        <f t="shared" si="32"/>
        <v>0</v>
      </c>
      <c r="AD26" s="4">
        <f t="shared" si="33"/>
        <v>0</v>
      </c>
      <c r="AE26" s="4">
        <f t="shared" si="34"/>
        <v>0</v>
      </c>
      <c r="AF26" s="79"/>
      <c r="AG26" s="10">
        <f>COUNTIF(Orders!$A$17:$A$36,B26)</f>
        <v>0</v>
      </c>
      <c r="AH26" s="10">
        <f t="shared" si="2"/>
        <v>0</v>
      </c>
      <c r="AI26" s="10">
        <f t="shared" si="3"/>
        <v>0</v>
      </c>
      <c r="AJ26" s="10">
        <f t="shared" si="4"/>
        <v>0</v>
      </c>
      <c r="AK26" s="10">
        <f t="shared" si="35"/>
        <v>0</v>
      </c>
      <c r="AL26" s="10">
        <f t="shared" si="5"/>
        <v>0</v>
      </c>
      <c r="AM26" s="10">
        <f t="shared" si="6"/>
        <v>0</v>
      </c>
      <c r="AN26" s="10">
        <f t="shared" si="7"/>
        <v>0</v>
      </c>
      <c r="AO26" s="10">
        <f t="shared" si="36"/>
        <v>0</v>
      </c>
      <c r="AP26" s="74"/>
      <c r="AQ26" s="4">
        <f>COUNTIF(Orders!$G$17:$G$36,B26)</f>
        <v>0</v>
      </c>
      <c r="AR26" s="10">
        <f t="shared" si="8"/>
        <v>0</v>
      </c>
      <c r="AS26" s="10">
        <f t="shared" si="9"/>
        <v>0</v>
      </c>
      <c r="AT26" s="10">
        <f t="shared" si="10"/>
        <v>0</v>
      </c>
      <c r="AU26" s="10">
        <f t="shared" si="11"/>
        <v>0</v>
      </c>
      <c r="AV26" s="10">
        <f t="shared" si="12"/>
        <v>0</v>
      </c>
      <c r="AW26" s="10">
        <f t="shared" si="13"/>
        <v>0</v>
      </c>
      <c r="AX26" s="10">
        <f t="shared" si="14"/>
        <v>0</v>
      </c>
      <c r="AY26" s="10">
        <f t="shared" si="37"/>
        <v>0</v>
      </c>
      <c r="AZ26" s="79"/>
      <c r="BA26" s="4">
        <f>COUNTIF(Orders!$M$17:$M$36,B26)</f>
        <v>0</v>
      </c>
      <c r="BB26" s="10">
        <f t="shared" si="15"/>
        <v>0</v>
      </c>
      <c r="BC26" s="10">
        <f t="shared" si="16"/>
        <v>0</v>
      </c>
      <c r="BD26" s="10">
        <f t="shared" si="17"/>
        <v>0</v>
      </c>
      <c r="BE26" s="10">
        <f t="shared" si="18"/>
        <v>0</v>
      </c>
      <c r="BF26" s="10">
        <f t="shared" si="19"/>
        <v>0</v>
      </c>
      <c r="BG26" s="10">
        <f t="shared" si="20"/>
        <v>0</v>
      </c>
      <c r="BH26" s="10">
        <f t="shared" si="38"/>
        <v>0</v>
      </c>
      <c r="BI26" s="10">
        <f t="shared" si="39"/>
        <v>0</v>
      </c>
      <c r="BJ26" s="79"/>
      <c r="BK26" s="4">
        <f>COUNTIF(Orders!$S$17:$S$36,B26)</f>
        <v>0</v>
      </c>
      <c r="BL26" s="10">
        <f t="shared" si="21"/>
        <v>0</v>
      </c>
      <c r="BM26" s="10">
        <f t="shared" si="22"/>
        <v>0</v>
      </c>
      <c r="BN26" s="10">
        <f t="shared" si="23"/>
        <v>0</v>
      </c>
      <c r="BO26" s="10">
        <f t="shared" si="24"/>
        <v>0</v>
      </c>
      <c r="BP26" s="10">
        <f t="shared" si="25"/>
        <v>0</v>
      </c>
      <c r="BQ26" s="10">
        <f t="shared" si="26"/>
        <v>0</v>
      </c>
      <c r="BR26" s="10">
        <f t="shared" si="40"/>
        <v>0</v>
      </c>
      <c r="BS26" s="10">
        <f t="shared" si="41"/>
        <v>0</v>
      </c>
    </row>
    <row r="27" spans="2:71" ht="12.75">
      <c r="B27" s="38">
        <f t="shared" si="42"/>
        <v>9</v>
      </c>
      <c r="C27" s="195"/>
      <c r="D27" s="311"/>
      <c r="E27" s="311"/>
      <c r="F27" s="311"/>
      <c r="G27" s="196"/>
      <c r="H27" s="195"/>
      <c r="I27" s="195"/>
      <c r="J27" s="195"/>
      <c r="K27" s="195"/>
      <c r="L27" s="195"/>
      <c r="M27" s="195"/>
      <c r="N27" s="197"/>
      <c r="O27" s="8">
        <f t="shared" si="27"/>
      </c>
      <c r="P27" s="195"/>
      <c r="Q27" s="195"/>
      <c r="R27" s="76">
        <f t="shared" si="0"/>
        <v>0</v>
      </c>
      <c r="S27" s="10">
        <f t="shared" si="28"/>
        <v>0</v>
      </c>
      <c r="T27" s="64" t="e">
        <f t="shared" si="1"/>
        <v>#N/A</v>
      </c>
      <c r="U27" s="64">
        <f t="shared" si="29"/>
        <v>0</v>
      </c>
      <c r="V27" s="195"/>
      <c r="W27" s="195"/>
      <c r="X27" s="195"/>
      <c r="Y27" s="195"/>
      <c r="Z27" s="195"/>
      <c r="AA27" s="215">
        <f t="shared" si="30"/>
      </c>
      <c r="AB27" s="4">
        <f t="shared" si="31"/>
        <v>0</v>
      </c>
      <c r="AC27" s="4">
        <f t="shared" si="32"/>
        <v>0</v>
      </c>
      <c r="AD27" s="4">
        <f t="shared" si="33"/>
        <v>0</v>
      </c>
      <c r="AE27" s="4">
        <f t="shared" si="34"/>
        <v>0</v>
      </c>
      <c r="AF27" s="79"/>
      <c r="AG27" s="10">
        <f>COUNTIF(Orders!$A$17:$A$36,B27)</f>
        <v>0</v>
      </c>
      <c r="AH27" s="10">
        <f t="shared" si="2"/>
        <v>0</v>
      </c>
      <c r="AI27" s="10">
        <f t="shared" si="3"/>
        <v>0</v>
      </c>
      <c r="AJ27" s="10">
        <f t="shared" si="4"/>
        <v>0</v>
      </c>
      <c r="AK27" s="10">
        <f t="shared" si="35"/>
        <v>0</v>
      </c>
      <c r="AL27" s="10">
        <f t="shared" si="5"/>
        <v>0</v>
      </c>
      <c r="AM27" s="10">
        <f t="shared" si="6"/>
        <v>0</v>
      </c>
      <c r="AN27" s="10">
        <f t="shared" si="7"/>
        <v>0</v>
      </c>
      <c r="AO27" s="10">
        <f t="shared" si="36"/>
        <v>0</v>
      </c>
      <c r="AP27" s="74"/>
      <c r="AQ27" s="4">
        <f>COUNTIF(Orders!$G$17:$G$36,B27)</f>
        <v>0</v>
      </c>
      <c r="AR27" s="10">
        <f t="shared" si="8"/>
        <v>0</v>
      </c>
      <c r="AS27" s="10">
        <f t="shared" si="9"/>
        <v>0</v>
      </c>
      <c r="AT27" s="10">
        <f t="shared" si="10"/>
        <v>0</v>
      </c>
      <c r="AU27" s="10">
        <f t="shared" si="11"/>
        <v>0</v>
      </c>
      <c r="AV27" s="10">
        <f t="shared" si="12"/>
        <v>0</v>
      </c>
      <c r="AW27" s="10">
        <f t="shared" si="13"/>
        <v>0</v>
      </c>
      <c r="AX27" s="10">
        <f t="shared" si="14"/>
        <v>0</v>
      </c>
      <c r="AY27" s="10">
        <f t="shared" si="37"/>
        <v>0</v>
      </c>
      <c r="AZ27" s="79"/>
      <c r="BA27" s="4">
        <f>COUNTIF(Orders!$M$17:$M$36,B27)</f>
        <v>0</v>
      </c>
      <c r="BB27" s="10">
        <f t="shared" si="15"/>
        <v>0</v>
      </c>
      <c r="BC27" s="10">
        <f t="shared" si="16"/>
        <v>0</v>
      </c>
      <c r="BD27" s="10">
        <f t="shared" si="17"/>
        <v>0</v>
      </c>
      <c r="BE27" s="10">
        <f t="shared" si="18"/>
        <v>0</v>
      </c>
      <c r="BF27" s="10">
        <f t="shared" si="19"/>
        <v>0</v>
      </c>
      <c r="BG27" s="10">
        <f t="shared" si="20"/>
        <v>0</v>
      </c>
      <c r="BH27" s="10">
        <f t="shared" si="38"/>
        <v>0</v>
      </c>
      <c r="BI27" s="10">
        <f t="shared" si="39"/>
        <v>0</v>
      </c>
      <c r="BJ27" s="79"/>
      <c r="BK27" s="4">
        <f>COUNTIF(Orders!$S$17:$S$36,B27)</f>
        <v>0</v>
      </c>
      <c r="BL27" s="10">
        <f t="shared" si="21"/>
        <v>0</v>
      </c>
      <c r="BM27" s="10">
        <f t="shared" si="22"/>
        <v>0</v>
      </c>
      <c r="BN27" s="10">
        <f t="shared" si="23"/>
        <v>0</v>
      </c>
      <c r="BO27" s="10">
        <f t="shared" si="24"/>
        <v>0</v>
      </c>
      <c r="BP27" s="10">
        <f t="shared" si="25"/>
        <v>0</v>
      </c>
      <c r="BQ27" s="10">
        <f t="shared" si="26"/>
        <v>0</v>
      </c>
      <c r="BR27" s="10">
        <f t="shared" si="40"/>
        <v>0</v>
      </c>
      <c r="BS27" s="10">
        <f t="shared" si="41"/>
        <v>0</v>
      </c>
    </row>
    <row r="28" spans="2:71" ht="12.75">
      <c r="B28" s="38">
        <f t="shared" si="42"/>
        <v>10</v>
      </c>
      <c r="C28" s="195"/>
      <c r="D28" s="311"/>
      <c r="E28" s="311"/>
      <c r="F28" s="311"/>
      <c r="G28" s="196"/>
      <c r="H28" s="195"/>
      <c r="I28" s="195"/>
      <c r="J28" s="195"/>
      <c r="K28" s="195"/>
      <c r="L28" s="195"/>
      <c r="M28" s="195"/>
      <c r="N28" s="197"/>
      <c r="O28" s="8">
        <f t="shared" si="27"/>
      </c>
      <c r="P28" s="195"/>
      <c r="Q28" s="195"/>
      <c r="R28" s="76">
        <f t="shared" si="0"/>
        <v>0</v>
      </c>
      <c r="S28" s="10">
        <f t="shared" si="28"/>
        <v>0</v>
      </c>
      <c r="T28" s="64" t="e">
        <f t="shared" si="1"/>
        <v>#N/A</v>
      </c>
      <c r="U28" s="64">
        <f t="shared" si="29"/>
        <v>0</v>
      </c>
      <c r="V28" s="195"/>
      <c r="W28" s="195"/>
      <c r="X28" s="195"/>
      <c r="Y28" s="195"/>
      <c r="Z28" s="195"/>
      <c r="AA28" s="215">
        <f t="shared" si="30"/>
      </c>
      <c r="AB28" s="4">
        <f t="shared" si="31"/>
        <v>0</v>
      </c>
      <c r="AC28" s="4">
        <f t="shared" si="32"/>
        <v>0</v>
      </c>
      <c r="AD28" s="4">
        <f t="shared" si="33"/>
        <v>0</v>
      </c>
      <c r="AE28" s="4">
        <f t="shared" si="34"/>
        <v>0</v>
      </c>
      <c r="AF28" s="79"/>
      <c r="AG28" s="10">
        <f>COUNTIF(Orders!$A$17:$A$36,B28)</f>
        <v>0</v>
      </c>
      <c r="AH28" s="10">
        <f t="shared" si="2"/>
        <v>0</v>
      </c>
      <c r="AI28" s="10">
        <f t="shared" si="3"/>
        <v>0</v>
      </c>
      <c r="AJ28" s="10">
        <f t="shared" si="4"/>
        <v>0</v>
      </c>
      <c r="AK28" s="10">
        <f t="shared" si="35"/>
        <v>0</v>
      </c>
      <c r="AL28" s="10">
        <f t="shared" si="5"/>
        <v>0</v>
      </c>
      <c r="AM28" s="10">
        <f t="shared" si="6"/>
        <v>0</v>
      </c>
      <c r="AN28" s="10">
        <f t="shared" si="7"/>
        <v>0</v>
      </c>
      <c r="AO28" s="10">
        <f t="shared" si="36"/>
        <v>0</v>
      </c>
      <c r="AP28" s="74"/>
      <c r="AQ28" s="4">
        <f>COUNTIF(Orders!$G$17:$G$36,B28)</f>
        <v>0</v>
      </c>
      <c r="AR28" s="10">
        <f t="shared" si="8"/>
        <v>0</v>
      </c>
      <c r="AS28" s="10">
        <f t="shared" si="9"/>
        <v>0</v>
      </c>
      <c r="AT28" s="10">
        <f t="shared" si="10"/>
        <v>0</v>
      </c>
      <c r="AU28" s="10">
        <f t="shared" si="11"/>
        <v>0</v>
      </c>
      <c r="AV28" s="10">
        <f t="shared" si="12"/>
        <v>0</v>
      </c>
      <c r="AW28" s="10">
        <f t="shared" si="13"/>
        <v>0</v>
      </c>
      <c r="AX28" s="10">
        <f t="shared" si="14"/>
        <v>0</v>
      </c>
      <c r="AY28" s="10">
        <f t="shared" si="37"/>
        <v>0</v>
      </c>
      <c r="AZ28" s="79"/>
      <c r="BA28" s="4">
        <f>COUNTIF(Orders!$M$17:$M$36,B28)</f>
        <v>0</v>
      </c>
      <c r="BB28" s="10">
        <f t="shared" si="15"/>
        <v>0</v>
      </c>
      <c r="BC28" s="10">
        <f t="shared" si="16"/>
        <v>0</v>
      </c>
      <c r="BD28" s="10">
        <f t="shared" si="17"/>
        <v>0</v>
      </c>
      <c r="BE28" s="10">
        <f t="shared" si="18"/>
        <v>0</v>
      </c>
      <c r="BF28" s="10">
        <f t="shared" si="19"/>
        <v>0</v>
      </c>
      <c r="BG28" s="10">
        <f t="shared" si="20"/>
        <v>0</v>
      </c>
      <c r="BH28" s="10">
        <f t="shared" si="38"/>
        <v>0</v>
      </c>
      <c r="BI28" s="10">
        <f t="shared" si="39"/>
        <v>0</v>
      </c>
      <c r="BJ28" s="79"/>
      <c r="BK28" s="4">
        <f>COUNTIF(Orders!$S$17:$S$36,B28)</f>
        <v>0</v>
      </c>
      <c r="BL28" s="10">
        <f t="shared" si="21"/>
        <v>0</v>
      </c>
      <c r="BM28" s="10">
        <f t="shared" si="22"/>
        <v>0</v>
      </c>
      <c r="BN28" s="10">
        <f t="shared" si="23"/>
        <v>0</v>
      </c>
      <c r="BO28" s="10">
        <f t="shared" si="24"/>
        <v>0</v>
      </c>
      <c r="BP28" s="10">
        <f t="shared" si="25"/>
        <v>0</v>
      </c>
      <c r="BQ28" s="10">
        <f t="shared" si="26"/>
        <v>0</v>
      </c>
      <c r="BR28" s="10">
        <f t="shared" si="40"/>
        <v>0</v>
      </c>
      <c r="BS28" s="10">
        <f t="shared" si="41"/>
        <v>0</v>
      </c>
    </row>
    <row r="29" spans="2:71" ht="12.75">
      <c r="B29" s="38">
        <f t="shared" si="42"/>
        <v>11</v>
      </c>
      <c r="C29" s="195"/>
      <c r="D29" s="311"/>
      <c r="E29" s="311"/>
      <c r="F29" s="311"/>
      <c r="G29" s="196"/>
      <c r="H29" s="195"/>
      <c r="I29" s="195"/>
      <c r="J29" s="195"/>
      <c r="K29" s="195"/>
      <c r="L29" s="195"/>
      <c r="M29" s="195"/>
      <c r="N29" s="197"/>
      <c r="O29" s="8">
        <f t="shared" si="27"/>
      </c>
      <c r="P29" s="195"/>
      <c r="Q29" s="195"/>
      <c r="R29" s="76">
        <f t="shared" si="0"/>
        <v>0</v>
      </c>
      <c r="S29" s="10">
        <f t="shared" si="28"/>
        <v>0</v>
      </c>
      <c r="T29" s="64" t="e">
        <f t="shared" si="1"/>
        <v>#N/A</v>
      </c>
      <c r="U29" s="64">
        <f t="shared" si="29"/>
        <v>0</v>
      </c>
      <c r="V29" s="195"/>
      <c r="W29" s="195"/>
      <c r="X29" s="195"/>
      <c r="Y29" s="195"/>
      <c r="Z29" s="195"/>
      <c r="AA29" s="215">
        <f t="shared" si="30"/>
      </c>
      <c r="AB29" s="4">
        <f t="shared" si="31"/>
        <v>0</v>
      </c>
      <c r="AC29" s="4">
        <f t="shared" si="32"/>
        <v>0</v>
      </c>
      <c r="AD29" s="4">
        <f t="shared" si="33"/>
        <v>0</v>
      </c>
      <c r="AE29" s="4">
        <f t="shared" si="34"/>
        <v>0</v>
      </c>
      <c r="AF29" s="79"/>
      <c r="AG29" s="10">
        <f>COUNTIF(Orders!$A$17:$A$36,B29)</f>
        <v>0</v>
      </c>
      <c r="AH29" s="10">
        <f t="shared" si="2"/>
        <v>0</v>
      </c>
      <c r="AI29" s="10">
        <f t="shared" si="3"/>
        <v>0</v>
      </c>
      <c r="AJ29" s="10">
        <f t="shared" si="4"/>
        <v>0</v>
      </c>
      <c r="AK29" s="10">
        <f t="shared" si="35"/>
        <v>0</v>
      </c>
      <c r="AL29" s="10">
        <f t="shared" si="5"/>
        <v>0</v>
      </c>
      <c r="AM29" s="10">
        <f t="shared" si="6"/>
        <v>0</v>
      </c>
      <c r="AN29" s="10">
        <f t="shared" si="7"/>
        <v>0</v>
      </c>
      <c r="AO29" s="10">
        <f t="shared" si="36"/>
        <v>0</v>
      </c>
      <c r="AP29" s="74"/>
      <c r="AQ29" s="4">
        <f>COUNTIF(Orders!$G$17:$G$36,B29)</f>
        <v>0</v>
      </c>
      <c r="AR29" s="10">
        <f t="shared" si="8"/>
        <v>0</v>
      </c>
      <c r="AS29" s="10">
        <f t="shared" si="9"/>
        <v>0</v>
      </c>
      <c r="AT29" s="10">
        <f t="shared" si="10"/>
        <v>0</v>
      </c>
      <c r="AU29" s="10">
        <f t="shared" si="11"/>
        <v>0</v>
      </c>
      <c r="AV29" s="10">
        <f t="shared" si="12"/>
        <v>0</v>
      </c>
      <c r="AW29" s="10">
        <f t="shared" si="13"/>
        <v>0</v>
      </c>
      <c r="AX29" s="10">
        <f t="shared" si="14"/>
        <v>0</v>
      </c>
      <c r="AY29" s="10">
        <f t="shared" si="37"/>
        <v>0</v>
      </c>
      <c r="AZ29" s="79"/>
      <c r="BA29" s="4">
        <f>COUNTIF(Orders!$M$17:$M$36,B29)</f>
        <v>0</v>
      </c>
      <c r="BB29" s="10">
        <f t="shared" si="15"/>
        <v>0</v>
      </c>
      <c r="BC29" s="10">
        <f t="shared" si="16"/>
        <v>0</v>
      </c>
      <c r="BD29" s="10">
        <f t="shared" si="17"/>
        <v>0</v>
      </c>
      <c r="BE29" s="10">
        <f t="shared" si="18"/>
        <v>0</v>
      </c>
      <c r="BF29" s="10">
        <f t="shared" si="19"/>
        <v>0</v>
      </c>
      <c r="BG29" s="10">
        <f t="shared" si="20"/>
        <v>0</v>
      </c>
      <c r="BH29" s="10">
        <f t="shared" si="38"/>
        <v>0</v>
      </c>
      <c r="BI29" s="10">
        <f t="shared" si="39"/>
        <v>0</v>
      </c>
      <c r="BJ29" s="79"/>
      <c r="BK29" s="4">
        <f>COUNTIF(Orders!$S$17:$S$36,B29)</f>
        <v>0</v>
      </c>
      <c r="BL29" s="10">
        <f t="shared" si="21"/>
        <v>0</v>
      </c>
      <c r="BM29" s="10">
        <f t="shared" si="22"/>
        <v>0</v>
      </c>
      <c r="BN29" s="10">
        <f t="shared" si="23"/>
        <v>0</v>
      </c>
      <c r="BO29" s="10">
        <f t="shared" si="24"/>
        <v>0</v>
      </c>
      <c r="BP29" s="10">
        <f t="shared" si="25"/>
        <v>0</v>
      </c>
      <c r="BQ29" s="10">
        <f t="shared" si="26"/>
        <v>0</v>
      </c>
      <c r="BR29" s="10">
        <f t="shared" si="40"/>
        <v>0</v>
      </c>
      <c r="BS29" s="10">
        <f t="shared" si="41"/>
        <v>0</v>
      </c>
    </row>
    <row r="30" spans="2:71" ht="12.75">
      <c r="B30" s="38">
        <f t="shared" si="42"/>
        <v>12</v>
      </c>
      <c r="C30" s="195"/>
      <c r="D30" s="311"/>
      <c r="E30" s="311"/>
      <c r="F30" s="311"/>
      <c r="G30" s="196"/>
      <c r="H30" s="195"/>
      <c r="I30" s="195"/>
      <c r="J30" s="195"/>
      <c r="K30" s="195"/>
      <c r="L30" s="195"/>
      <c r="M30" s="195"/>
      <c r="N30" s="197"/>
      <c r="O30" s="8">
        <f t="shared" si="27"/>
      </c>
      <c r="P30" s="195"/>
      <c r="Q30" s="195"/>
      <c r="R30" s="76">
        <f t="shared" si="0"/>
        <v>0</v>
      </c>
      <c r="S30" s="10">
        <f t="shared" si="28"/>
        <v>0</v>
      </c>
      <c r="T30" s="64" t="e">
        <f t="shared" si="1"/>
        <v>#N/A</v>
      </c>
      <c r="U30" s="64">
        <f t="shared" si="29"/>
        <v>0</v>
      </c>
      <c r="V30" s="195"/>
      <c r="W30" s="195"/>
      <c r="X30" s="195"/>
      <c r="Y30" s="195"/>
      <c r="Z30" s="195"/>
      <c r="AA30" s="215">
        <f t="shared" si="30"/>
      </c>
      <c r="AB30" s="4">
        <f t="shared" si="31"/>
        <v>0</v>
      </c>
      <c r="AC30" s="4">
        <f t="shared" si="32"/>
        <v>0</v>
      </c>
      <c r="AD30" s="4">
        <f t="shared" si="33"/>
        <v>0</v>
      </c>
      <c r="AE30" s="4">
        <f t="shared" si="34"/>
        <v>0</v>
      </c>
      <c r="AF30" s="79"/>
      <c r="AG30" s="10">
        <f>COUNTIF(Orders!$A$17:$A$36,B30)</f>
        <v>0</v>
      </c>
      <c r="AH30" s="10">
        <f t="shared" si="2"/>
        <v>0</v>
      </c>
      <c r="AI30" s="10">
        <f t="shared" si="3"/>
        <v>0</v>
      </c>
      <c r="AJ30" s="10">
        <f t="shared" si="4"/>
        <v>0</v>
      </c>
      <c r="AK30" s="10">
        <f t="shared" si="35"/>
        <v>0</v>
      </c>
      <c r="AL30" s="10">
        <f t="shared" si="5"/>
        <v>0</v>
      </c>
      <c r="AM30" s="10">
        <f t="shared" si="6"/>
        <v>0</v>
      </c>
      <c r="AN30" s="10">
        <f t="shared" si="7"/>
        <v>0</v>
      </c>
      <c r="AO30" s="10">
        <f t="shared" si="36"/>
        <v>0</v>
      </c>
      <c r="AP30" s="74"/>
      <c r="AQ30" s="4">
        <f>COUNTIF(Orders!$G$17:$G$36,B30)</f>
        <v>0</v>
      </c>
      <c r="AR30" s="10">
        <f t="shared" si="8"/>
        <v>0</v>
      </c>
      <c r="AS30" s="10">
        <f t="shared" si="9"/>
        <v>0</v>
      </c>
      <c r="AT30" s="10">
        <f t="shared" si="10"/>
        <v>0</v>
      </c>
      <c r="AU30" s="10">
        <f t="shared" si="11"/>
        <v>0</v>
      </c>
      <c r="AV30" s="10">
        <f t="shared" si="12"/>
        <v>0</v>
      </c>
      <c r="AW30" s="10">
        <f t="shared" si="13"/>
        <v>0</v>
      </c>
      <c r="AX30" s="10">
        <f t="shared" si="14"/>
        <v>0</v>
      </c>
      <c r="AY30" s="10">
        <f t="shared" si="37"/>
        <v>0</v>
      </c>
      <c r="AZ30" s="79"/>
      <c r="BA30" s="4">
        <f>COUNTIF(Orders!$M$17:$M$36,B30)</f>
        <v>0</v>
      </c>
      <c r="BB30" s="10">
        <f t="shared" si="15"/>
        <v>0</v>
      </c>
      <c r="BC30" s="10">
        <f t="shared" si="16"/>
        <v>0</v>
      </c>
      <c r="BD30" s="10">
        <f t="shared" si="17"/>
        <v>0</v>
      </c>
      <c r="BE30" s="10">
        <f t="shared" si="18"/>
        <v>0</v>
      </c>
      <c r="BF30" s="10">
        <f t="shared" si="19"/>
        <v>0</v>
      </c>
      <c r="BG30" s="10">
        <f t="shared" si="20"/>
        <v>0</v>
      </c>
      <c r="BH30" s="10">
        <f t="shared" si="38"/>
        <v>0</v>
      </c>
      <c r="BI30" s="10">
        <f t="shared" si="39"/>
        <v>0</v>
      </c>
      <c r="BJ30" s="79"/>
      <c r="BK30" s="4">
        <f>COUNTIF(Orders!$S$17:$S$36,B30)</f>
        <v>0</v>
      </c>
      <c r="BL30" s="10">
        <f t="shared" si="21"/>
        <v>0</v>
      </c>
      <c r="BM30" s="10">
        <f t="shared" si="22"/>
        <v>0</v>
      </c>
      <c r="BN30" s="10">
        <f t="shared" si="23"/>
        <v>0</v>
      </c>
      <c r="BO30" s="10">
        <f t="shared" si="24"/>
        <v>0</v>
      </c>
      <c r="BP30" s="10">
        <f t="shared" si="25"/>
        <v>0</v>
      </c>
      <c r="BQ30" s="10">
        <f t="shared" si="26"/>
        <v>0</v>
      </c>
      <c r="BR30" s="10">
        <f t="shared" si="40"/>
        <v>0</v>
      </c>
      <c r="BS30" s="10">
        <f t="shared" si="41"/>
        <v>0</v>
      </c>
    </row>
    <row r="31" spans="2:71" ht="12.75">
      <c r="B31" s="38">
        <f t="shared" si="42"/>
        <v>13</v>
      </c>
      <c r="C31" s="195"/>
      <c r="D31" s="311"/>
      <c r="E31" s="311"/>
      <c r="F31" s="311"/>
      <c r="G31" s="196"/>
      <c r="H31" s="195"/>
      <c r="I31" s="195"/>
      <c r="J31" s="195"/>
      <c r="K31" s="195"/>
      <c r="L31" s="195"/>
      <c r="M31" s="195"/>
      <c r="N31" s="197"/>
      <c r="O31" s="8">
        <f t="shared" si="27"/>
      </c>
      <c r="P31" s="195"/>
      <c r="Q31" s="195"/>
      <c r="R31" s="76">
        <f t="shared" si="0"/>
        <v>0</v>
      </c>
      <c r="S31" s="10">
        <f t="shared" si="28"/>
        <v>0</v>
      </c>
      <c r="T31" s="64" t="e">
        <f t="shared" si="1"/>
        <v>#N/A</v>
      </c>
      <c r="U31" s="64">
        <f t="shared" si="29"/>
        <v>0</v>
      </c>
      <c r="V31" s="195"/>
      <c r="W31" s="195"/>
      <c r="X31" s="195"/>
      <c r="Y31" s="195"/>
      <c r="Z31" s="195"/>
      <c r="AA31" s="215">
        <f t="shared" si="30"/>
      </c>
      <c r="AB31" s="4">
        <f t="shared" si="31"/>
        <v>0</v>
      </c>
      <c r="AC31" s="4">
        <f t="shared" si="32"/>
        <v>0</v>
      </c>
      <c r="AD31" s="4">
        <f t="shared" si="33"/>
        <v>0</v>
      </c>
      <c r="AE31" s="4">
        <f t="shared" si="34"/>
        <v>0</v>
      </c>
      <c r="AF31" s="79"/>
      <c r="AG31" s="10">
        <f>COUNTIF(Orders!$A$17:$A$36,B31)</f>
        <v>0</v>
      </c>
      <c r="AH31" s="10">
        <f t="shared" si="2"/>
        <v>0</v>
      </c>
      <c r="AI31" s="10">
        <f t="shared" si="3"/>
        <v>0</v>
      </c>
      <c r="AJ31" s="10">
        <f t="shared" si="4"/>
        <v>0</v>
      </c>
      <c r="AK31" s="10">
        <f t="shared" si="35"/>
        <v>0</v>
      </c>
      <c r="AL31" s="10">
        <f t="shared" si="5"/>
        <v>0</v>
      </c>
      <c r="AM31" s="10">
        <f t="shared" si="6"/>
        <v>0</v>
      </c>
      <c r="AN31" s="10">
        <f t="shared" si="7"/>
        <v>0</v>
      </c>
      <c r="AO31" s="10">
        <f t="shared" si="36"/>
        <v>0</v>
      </c>
      <c r="AP31" s="74"/>
      <c r="AQ31" s="4">
        <f>COUNTIF(Orders!$G$17:$G$36,B31)</f>
        <v>0</v>
      </c>
      <c r="AR31" s="10">
        <f t="shared" si="8"/>
        <v>0</v>
      </c>
      <c r="AS31" s="10">
        <f t="shared" si="9"/>
        <v>0</v>
      </c>
      <c r="AT31" s="10">
        <f t="shared" si="10"/>
        <v>0</v>
      </c>
      <c r="AU31" s="10">
        <f t="shared" si="11"/>
        <v>0</v>
      </c>
      <c r="AV31" s="10">
        <f t="shared" si="12"/>
        <v>0</v>
      </c>
      <c r="AW31" s="10">
        <f t="shared" si="13"/>
        <v>0</v>
      </c>
      <c r="AX31" s="10">
        <f t="shared" si="14"/>
        <v>0</v>
      </c>
      <c r="AY31" s="10">
        <f t="shared" si="37"/>
        <v>0</v>
      </c>
      <c r="AZ31" s="79"/>
      <c r="BA31" s="4">
        <f>COUNTIF(Orders!$M$17:$M$36,B31)</f>
        <v>0</v>
      </c>
      <c r="BB31" s="10">
        <f t="shared" si="15"/>
        <v>0</v>
      </c>
      <c r="BC31" s="10">
        <f t="shared" si="16"/>
        <v>0</v>
      </c>
      <c r="BD31" s="10">
        <f t="shared" si="17"/>
        <v>0</v>
      </c>
      <c r="BE31" s="10">
        <f t="shared" si="18"/>
        <v>0</v>
      </c>
      <c r="BF31" s="10">
        <f t="shared" si="19"/>
        <v>0</v>
      </c>
      <c r="BG31" s="10">
        <f t="shared" si="20"/>
        <v>0</v>
      </c>
      <c r="BH31" s="10">
        <f t="shared" si="38"/>
        <v>0</v>
      </c>
      <c r="BI31" s="10">
        <f t="shared" si="39"/>
        <v>0</v>
      </c>
      <c r="BJ31" s="79"/>
      <c r="BK31" s="4">
        <f>COUNTIF(Orders!$S$17:$S$36,B31)</f>
        <v>0</v>
      </c>
      <c r="BL31" s="10">
        <f t="shared" si="21"/>
        <v>0</v>
      </c>
      <c r="BM31" s="10">
        <f t="shared" si="22"/>
        <v>0</v>
      </c>
      <c r="BN31" s="10">
        <f t="shared" si="23"/>
        <v>0</v>
      </c>
      <c r="BO31" s="10">
        <f t="shared" si="24"/>
        <v>0</v>
      </c>
      <c r="BP31" s="10">
        <f t="shared" si="25"/>
        <v>0</v>
      </c>
      <c r="BQ31" s="10">
        <f t="shared" si="26"/>
        <v>0</v>
      </c>
      <c r="BR31" s="10">
        <f t="shared" si="40"/>
        <v>0</v>
      </c>
      <c r="BS31" s="10">
        <f t="shared" si="41"/>
        <v>0</v>
      </c>
    </row>
    <row r="32" spans="2:71" ht="12.75">
      <c r="B32" s="38">
        <f t="shared" si="42"/>
        <v>14</v>
      </c>
      <c r="C32" s="195"/>
      <c r="D32" s="311"/>
      <c r="E32" s="311"/>
      <c r="F32" s="311"/>
      <c r="G32" s="196"/>
      <c r="H32" s="195"/>
      <c r="I32" s="195"/>
      <c r="J32" s="195"/>
      <c r="K32" s="195"/>
      <c r="L32" s="195"/>
      <c r="M32" s="195"/>
      <c r="N32" s="197"/>
      <c r="O32" s="8">
        <f t="shared" si="27"/>
      </c>
      <c r="P32" s="195"/>
      <c r="Q32" s="195"/>
      <c r="R32" s="76">
        <f t="shared" si="0"/>
        <v>0</v>
      </c>
      <c r="S32" s="10">
        <f t="shared" si="28"/>
        <v>0</v>
      </c>
      <c r="T32" s="64" t="e">
        <f t="shared" si="1"/>
        <v>#N/A</v>
      </c>
      <c r="U32" s="64">
        <f t="shared" si="29"/>
        <v>0</v>
      </c>
      <c r="V32" s="195"/>
      <c r="W32" s="195"/>
      <c r="X32" s="195"/>
      <c r="Y32" s="195"/>
      <c r="Z32" s="195"/>
      <c r="AA32" s="215">
        <f t="shared" si="30"/>
      </c>
      <c r="AB32" s="4">
        <f t="shared" si="31"/>
        <v>0</v>
      </c>
      <c r="AC32" s="4">
        <f t="shared" si="32"/>
        <v>0</v>
      </c>
      <c r="AD32" s="4">
        <f t="shared" si="33"/>
        <v>0</v>
      </c>
      <c r="AE32" s="4">
        <f t="shared" si="34"/>
        <v>0</v>
      </c>
      <c r="AF32" s="79"/>
      <c r="AG32" s="10">
        <f>COUNTIF(Orders!$A$17:$A$36,B32)</f>
        <v>0</v>
      </c>
      <c r="AH32" s="10">
        <f t="shared" si="2"/>
        <v>0</v>
      </c>
      <c r="AI32" s="10">
        <f t="shared" si="3"/>
        <v>0</v>
      </c>
      <c r="AJ32" s="10">
        <f t="shared" si="4"/>
        <v>0</v>
      </c>
      <c r="AK32" s="10">
        <f t="shared" si="35"/>
        <v>0</v>
      </c>
      <c r="AL32" s="10">
        <f t="shared" si="5"/>
        <v>0</v>
      </c>
      <c r="AM32" s="10">
        <f t="shared" si="6"/>
        <v>0</v>
      </c>
      <c r="AN32" s="10">
        <f t="shared" si="7"/>
        <v>0</v>
      </c>
      <c r="AO32" s="10">
        <f t="shared" si="36"/>
        <v>0</v>
      </c>
      <c r="AP32" s="74"/>
      <c r="AQ32" s="4">
        <f>COUNTIF(Orders!$G$17:$G$36,B32)</f>
        <v>0</v>
      </c>
      <c r="AR32" s="10">
        <f t="shared" si="8"/>
        <v>0</v>
      </c>
      <c r="AS32" s="10">
        <f t="shared" si="9"/>
        <v>0</v>
      </c>
      <c r="AT32" s="10">
        <f t="shared" si="10"/>
        <v>0</v>
      </c>
      <c r="AU32" s="10">
        <f t="shared" si="11"/>
        <v>0</v>
      </c>
      <c r="AV32" s="10">
        <f t="shared" si="12"/>
        <v>0</v>
      </c>
      <c r="AW32" s="10">
        <f t="shared" si="13"/>
        <v>0</v>
      </c>
      <c r="AX32" s="10">
        <f t="shared" si="14"/>
        <v>0</v>
      </c>
      <c r="AY32" s="10">
        <f t="shared" si="37"/>
        <v>0</v>
      </c>
      <c r="AZ32" s="79"/>
      <c r="BA32" s="4">
        <f>COUNTIF(Orders!$M$17:$M$36,B32)</f>
        <v>0</v>
      </c>
      <c r="BB32" s="10">
        <f t="shared" si="15"/>
        <v>0</v>
      </c>
      <c r="BC32" s="10">
        <f t="shared" si="16"/>
        <v>0</v>
      </c>
      <c r="BD32" s="10">
        <f t="shared" si="17"/>
        <v>0</v>
      </c>
      <c r="BE32" s="10">
        <f t="shared" si="18"/>
        <v>0</v>
      </c>
      <c r="BF32" s="10">
        <f t="shared" si="19"/>
        <v>0</v>
      </c>
      <c r="BG32" s="10">
        <f t="shared" si="20"/>
        <v>0</v>
      </c>
      <c r="BH32" s="10">
        <f t="shared" si="38"/>
        <v>0</v>
      </c>
      <c r="BI32" s="10">
        <f t="shared" si="39"/>
        <v>0</v>
      </c>
      <c r="BJ32" s="79"/>
      <c r="BK32" s="4">
        <f>COUNTIF(Orders!$S$17:$S$36,B32)</f>
        <v>0</v>
      </c>
      <c r="BL32" s="10">
        <f t="shared" si="21"/>
        <v>0</v>
      </c>
      <c r="BM32" s="10">
        <f t="shared" si="22"/>
        <v>0</v>
      </c>
      <c r="BN32" s="10">
        <f t="shared" si="23"/>
        <v>0</v>
      </c>
      <c r="BO32" s="10">
        <f t="shared" si="24"/>
        <v>0</v>
      </c>
      <c r="BP32" s="10">
        <f t="shared" si="25"/>
        <v>0</v>
      </c>
      <c r="BQ32" s="10">
        <f t="shared" si="26"/>
        <v>0</v>
      </c>
      <c r="BR32" s="10">
        <f t="shared" si="40"/>
        <v>0</v>
      </c>
      <c r="BS32" s="10">
        <f t="shared" si="41"/>
        <v>0</v>
      </c>
    </row>
    <row r="33" spans="2:71" ht="12.75">
      <c r="B33" s="38">
        <f t="shared" si="42"/>
        <v>15</v>
      </c>
      <c r="C33" s="195"/>
      <c r="D33" s="311"/>
      <c r="E33" s="311"/>
      <c r="F33" s="311"/>
      <c r="G33" s="196"/>
      <c r="H33" s="195"/>
      <c r="I33" s="195"/>
      <c r="J33" s="195"/>
      <c r="K33" s="195"/>
      <c r="L33" s="195"/>
      <c r="M33" s="195"/>
      <c r="N33" s="197"/>
      <c r="O33" s="8">
        <f t="shared" si="27"/>
      </c>
      <c r="P33" s="195"/>
      <c r="Q33" s="195"/>
      <c r="R33" s="76">
        <f t="shared" si="0"/>
        <v>0</v>
      </c>
      <c r="S33" s="10">
        <f t="shared" si="28"/>
        <v>0</v>
      </c>
      <c r="T33" s="64" t="e">
        <f t="shared" si="1"/>
        <v>#N/A</v>
      </c>
      <c r="U33" s="64">
        <f t="shared" si="29"/>
        <v>0</v>
      </c>
      <c r="V33" s="195"/>
      <c r="W33" s="195"/>
      <c r="X33" s="195"/>
      <c r="Y33" s="195"/>
      <c r="Z33" s="195"/>
      <c r="AA33" s="215">
        <f t="shared" si="30"/>
      </c>
      <c r="AB33" s="4">
        <f t="shared" si="31"/>
        <v>0</v>
      </c>
      <c r="AC33" s="4">
        <f t="shared" si="32"/>
        <v>0</v>
      </c>
      <c r="AD33" s="4">
        <f t="shared" si="33"/>
        <v>0</v>
      </c>
      <c r="AE33" s="4">
        <f t="shared" si="34"/>
        <v>0</v>
      </c>
      <c r="AF33" s="79"/>
      <c r="AG33" s="10">
        <f>COUNTIF(Orders!$A$17:$A$36,B33)</f>
        <v>0</v>
      </c>
      <c r="AH33" s="10">
        <f t="shared" si="2"/>
        <v>0</v>
      </c>
      <c r="AI33" s="10">
        <f t="shared" si="3"/>
        <v>0</v>
      </c>
      <c r="AJ33" s="10">
        <f t="shared" si="4"/>
        <v>0</v>
      </c>
      <c r="AK33" s="10">
        <f t="shared" si="35"/>
        <v>0</v>
      </c>
      <c r="AL33" s="10">
        <f t="shared" si="5"/>
        <v>0</v>
      </c>
      <c r="AM33" s="10">
        <f t="shared" si="6"/>
        <v>0</v>
      </c>
      <c r="AN33" s="10">
        <f t="shared" si="7"/>
        <v>0</v>
      </c>
      <c r="AO33" s="10">
        <f t="shared" si="36"/>
        <v>0</v>
      </c>
      <c r="AP33" s="74"/>
      <c r="AQ33" s="4">
        <f>COUNTIF(Orders!$G$17:$G$36,B33)</f>
        <v>0</v>
      </c>
      <c r="AR33" s="10">
        <f t="shared" si="8"/>
        <v>0</v>
      </c>
      <c r="AS33" s="10">
        <f t="shared" si="9"/>
        <v>0</v>
      </c>
      <c r="AT33" s="10">
        <f t="shared" si="10"/>
        <v>0</v>
      </c>
      <c r="AU33" s="10">
        <f t="shared" si="11"/>
        <v>0</v>
      </c>
      <c r="AV33" s="10">
        <f t="shared" si="12"/>
        <v>0</v>
      </c>
      <c r="AW33" s="10">
        <f t="shared" si="13"/>
        <v>0</v>
      </c>
      <c r="AX33" s="10">
        <f t="shared" si="14"/>
        <v>0</v>
      </c>
      <c r="AY33" s="10">
        <f t="shared" si="37"/>
        <v>0</v>
      </c>
      <c r="AZ33" s="79"/>
      <c r="BA33" s="4">
        <f>COUNTIF(Orders!$M$17:$M$36,B33)</f>
        <v>0</v>
      </c>
      <c r="BB33" s="10">
        <f t="shared" si="15"/>
        <v>0</v>
      </c>
      <c r="BC33" s="10">
        <f t="shared" si="16"/>
        <v>0</v>
      </c>
      <c r="BD33" s="10">
        <f t="shared" si="17"/>
        <v>0</v>
      </c>
      <c r="BE33" s="10">
        <f t="shared" si="18"/>
        <v>0</v>
      </c>
      <c r="BF33" s="10">
        <f t="shared" si="19"/>
        <v>0</v>
      </c>
      <c r="BG33" s="10">
        <f t="shared" si="20"/>
        <v>0</v>
      </c>
      <c r="BH33" s="10">
        <f t="shared" si="38"/>
        <v>0</v>
      </c>
      <c r="BI33" s="10">
        <f t="shared" si="39"/>
        <v>0</v>
      </c>
      <c r="BJ33" s="79"/>
      <c r="BK33" s="4">
        <f>COUNTIF(Orders!$S$17:$S$36,B33)</f>
        <v>0</v>
      </c>
      <c r="BL33" s="10">
        <f t="shared" si="21"/>
        <v>0</v>
      </c>
      <c r="BM33" s="10">
        <f t="shared" si="22"/>
        <v>0</v>
      </c>
      <c r="BN33" s="10">
        <f t="shared" si="23"/>
        <v>0</v>
      </c>
      <c r="BO33" s="10">
        <f t="shared" si="24"/>
        <v>0</v>
      </c>
      <c r="BP33" s="10">
        <f t="shared" si="25"/>
        <v>0</v>
      </c>
      <c r="BQ33" s="10">
        <f t="shared" si="26"/>
        <v>0</v>
      </c>
      <c r="BR33" s="10">
        <f t="shared" si="40"/>
        <v>0</v>
      </c>
      <c r="BS33" s="10">
        <f t="shared" si="41"/>
        <v>0</v>
      </c>
    </row>
    <row r="34" spans="2:71" ht="12.75">
      <c r="B34" s="38">
        <f t="shared" si="42"/>
        <v>16</v>
      </c>
      <c r="C34" s="195"/>
      <c r="D34" s="311"/>
      <c r="E34" s="311"/>
      <c r="F34" s="311"/>
      <c r="G34" s="196"/>
      <c r="H34" s="195"/>
      <c r="I34" s="195"/>
      <c r="J34" s="195"/>
      <c r="K34" s="195"/>
      <c r="L34" s="195"/>
      <c r="M34" s="195"/>
      <c r="N34" s="197"/>
      <c r="O34" s="8">
        <f t="shared" si="27"/>
      </c>
      <c r="P34" s="195"/>
      <c r="Q34" s="195"/>
      <c r="R34" s="76">
        <f t="shared" si="0"/>
        <v>0</v>
      </c>
      <c r="S34" s="10">
        <f t="shared" si="28"/>
        <v>0</v>
      </c>
      <c r="T34" s="64" t="e">
        <f t="shared" si="1"/>
        <v>#N/A</v>
      </c>
      <c r="U34" s="64">
        <f t="shared" si="29"/>
        <v>0</v>
      </c>
      <c r="V34" s="195"/>
      <c r="W34" s="195"/>
      <c r="X34" s="195"/>
      <c r="Y34" s="195"/>
      <c r="Z34" s="195"/>
      <c r="AA34" s="215">
        <f t="shared" si="30"/>
      </c>
      <c r="AB34" s="4">
        <f t="shared" si="31"/>
        <v>0</v>
      </c>
      <c r="AC34" s="4">
        <f t="shared" si="32"/>
        <v>0</v>
      </c>
      <c r="AD34" s="4">
        <f t="shared" si="33"/>
        <v>0</v>
      </c>
      <c r="AE34" s="4">
        <f t="shared" si="34"/>
        <v>0</v>
      </c>
      <c r="AF34" s="79"/>
      <c r="AG34" s="10">
        <f>COUNTIF(Orders!$A$17:$A$36,B34)</f>
        <v>0</v>
      </c>
      <c r="AH34" s="10">
        <f t="shared" si="2"/>
        <v>0</v>
      </c>
      <c r="AI34" s="10">
        <f t="shared" si="3"/>
        <v>0</v>
      </c>
      <c r="AJ34" s="10">
        <f t="shared" si="4"/>
        <v>0</v>
      </c>
      <c r="AK34" s="10">
        <f t="shared" si="35"/>
        <v>0</v>
      </c>
      <c r="AL34" s="10">
        <f t="shared" si="5"/>
        <v>0</v>
      </c>
      <c r="AM34" s="10">
        <f t="shared" si="6"/>
        <v>0</v>
      </c>
      <c r="AN34" s="10">
        <f t="shared" si="7"/>
        <v>0</v>
      </c>
      <c r="AO34" s="10">
        <f t="shared" si="36"/>
        <v>0</v>
      </c>
      <c r="AP34" s="74"/>
      <c r="AQ34" s="4">
        <f>COUNTIF(Orders!$G$17:$G$36,B34)</f>
        <v>0</v>
      </c>
      <c r="AR34" s="10">
        <f t="shared" si="8"/>
        <v>0</v>
      </c>
      <c r="AS34" s="10">
        <f t="shared" si="9"/>
        <v>0</v>
      </c>
      <c r="AT34" s="10">
        <f t="shared" si="10"/>
        <v>0</v>
      </c>
      <c r="AU34" s="10">
        <f t="shared" si="11"/>
        <v>0</v>
      </c>
      <c r="AV34" s="10">
        <f t="shared" si="12"/>
        <v>0</v>
      </c>
      <c r="AW34" s="10">
        <f t="shared" si="13"/>
        <v>0</v>
      </c>
      <c r="AX34" s="10">
        <f t="shared" si="14"/>
        <v>0</v>
      </c>
      <c r="AY34" s="10">
        <f t="shared" si="37"/>
        <v>0</v>
      </c>
      <c r="AZ34" s="79"/>
      <c r="BA34" s="4">
        <f>COUNTIF(Orders!$M$17:$M$36,B34)</f>
        <v>0</v>
      </c>
      <c r="BB34" s="10">
        <f t="shared" si="15"/>
        <v>0</v>
      </c>
      <c r="BC34" s="10">
        <f t="shared" si="16"/>
        <v>0</v>
      </c>
      <c r="BD34" s="10">
        <f t="shared" si="17"/>
        <v>0</v>
      </c>
      <c r="BE34" s="10">
        <f t="shared" si="18"/>
        <v>0</v>
      </c>
      <c r="BF34" s="10">
        <f t="shared" si="19"/>
        <v>0</v>
      </c>
      <c r="BG34" s="10">
        <f t="shared" si="20"/>
        <v>0</v>
      </c>
      <c r="BH34" s="10">
        <f t="shared" si="38"/>
        <v>0</v>
      </c>
      <c r="BI34" s="10">
        <f t="shared" si="39"/>
        <v>0</v>
      </c>
      <c r="BJ34" s="79"/>
      <c r="BK34" s="4">
        <f>COUNTIF(Orders!$S$17:$S$36,B34)</f>
        <v>0</v>
      </c>
      <c r="BL34" s="10">
        <f t="shared" si="21"/>
        <v>0</v>
      </c>
      <c r="BM34" s="10">
        <f t="shared" si="22"/>
        <v>0</v>
      </c>
      <c r="BN34" s="10">
        <f t="shared" si="23"/>
        <v>0</v>
      </c>
      <c r="BO34" s="10">
        <f t="shared" si="24"/>
        <v>0</v>
      </c>
      <c r="BP34" s="10">
        <f t="shared" si="25"/>
        <v>0</v>
      </c>
      <c r="BQ34" s="10">
        <f t="shared" si="26"/>
        <v>0</v>
      </c>
      <c r="BR34" s="10">
        <f t="shared" si="40"/>
        <v>0</v>
      </c>
      <c r="BS34" s="10">
        <f t="shared" si="41"/>
        <v>0</v>
      </c>
    </row>
    <row r="35" spans="2:71" ht="12.75">
      <c r="B35" s="38">
        <f t="shared" si="42"/>
        <v>17</v>
      </c>
      <c r="C35" s="195"/>
      <c r="D35" s="311"/>
      <c r="E35" s="311"/>
      <c r="F35" s="311"/>
      <c r="G35" s="196"/>
      <c r="H35" s="195"/>
      <c r="I35" s="195"/>
      <c r="J35" s="195"/>
      <c r="K35" s="195"/>
      <c r="L35" s="195"/>
      <c r="M35" s="195"/>
      <c r="N35" s="197"/>
      <c r="O35" s="8">
        <f t="shared" si="27"/>
      </c>
      <c r="P35" s="195"/>
      <c r="Q35" s="195"/>
      <c r="R35" s="76">
        <f t="shared" si="0"/>
        <v>0</v>
      </c>
      <c r="S35" s="10">
        <f t="shared" si="28"/>
        <v>0</v>
      </c>
      <c r="T35" s="64" t="e">
        <f t="shared" si="1"/>
        <v>#N/A</v>
      </c>
      <c r="U35" s="64">
        <f t="shared" si="29"/>
        <v>0</v>
      </c>
      <c r="V35" s="195"/>
      <c r="W35" s="195"/>
      <c r="X35" s="195"/>
      <c r="Y35" s="195"/>
      <c r="Z35" s="195"/>
      <c r="AA35" s="215">
        <f t="shared" si="30"/>
      </c>
      <c r="AB35" s="4">
        <f t="shared" si="31"/>
        <v>0</v>
      </c>
      <c r="AC35" s="4">
        <f t="shared" si="32"/>
        <v>0</v>
      </c>
      <c r="AD35" s="4">
        <f t="shared" si="33"/>
        <v>0</v>
      </c>
      <c r="AE35" s="4">
        <f t="shared" si="34"/>
        <v>0</v>
      </c>
      <c r="AF35" s="79"/>
      <c r="AG35" s="10">
        <f>COUNTIF(Orders!$A$17:$A$36,B35)</f>
        <v>0</v>
      </c>
      <c r="AH35" s="10">
        <f t="shared" si="2"/>
        <v>0</v>
      </c>
      <c r="AI35" s="10">
        <f t="shared" si="3"/>
        <v>0</v>
      </c>
      <c r="AJ35" s="10">
        <f t="shared" si="4"/>
        <v>0</v>
      </c>
      <c r="AK35" s="10">
        <f t="shared" si="35"/>
        <v>0</v>
      </c>
      <c r="AL35" s="10">
        <f t="shared" si="5"/>
        <v>0</v>
      </c>
      <c r="AM35" s="10">
        <f t="shared" si="6"/>
        <v>0</v>
      </c>
      <c r="AN35" s="10">
        <f t="shared" si="7"/>
        <v>0</v>
      </c>
      <c r="AO35" s="10">
        <f t="shared" si="36"/>
        <v>0</v>
      </c>
      <c r="AP35" s="74"/>
      <c r="AQ35" s="4">
        <f>COUNTIF(Orders!$G$17:$G$36,B35)</f>
        <v>0</v>
      </c>
      <c r="AR35" s="10">
        <f t="shared" si="8"/>
        <v>0</v>
      </c>
      <c r="AS35" s="10">
        <f t="shared" si="9"/>
        <v>0</v>
      </c>
      <c r="AT35" s="10">
        <f t="shared" si="10"/>
        <v>0</v>
      </c>
      <c r="AU35" s="10">
        <f t="shared" si="11"/>
        <v>0</v>
      </c>
      <c r="AV35" s="10">
        <f t="shared" si="12"/>
        <v>0</v>
      </c>
      <c r="AW35" s="10">
        <f t="shared" si="13"/>
        <v>0</v>
      </c>
      <c r="AX35" s="10">
        <f t="shared" si="14"/>
        <v>0</v>
      </c>
      <c r="AY35" s="10">
        <f t="shared" si="37"/>
        <v>0</v>
      </c>
      <c r="AZ35" s="79"/>
      <c r="BA35" s="4">
        <f>COUNTIF(Orders!$M$17:$M$36,B35)</f>
        <v>0</v>
      </c>
      <c r="BB35" s="10">
        <f t="shared" si="15"/>
        <v>0</v>
      </c>
      <c r="BC35" s="10">
        <f t="shared" si="16"/>
        <v>0</v>
      </c>
      <c r="BD35" s="10">
        <f t="shared" si="17"/>
        <v>0</v>
      </c>
      <c r="BE35" s="10">
        <f t="shared" si="18"/>
        <v>0</v>
      </c>
      <c r="BF35" s="10">
        <f t="shared" si="19"/>
        <v>0</v>
      </c>
      <c r="BG35" s="10">
        <f t="shared" si="20"/>
        <v>0</v>
      </c>
      <c r="BH35" s="10">
        <f t="shared" si="38"/>
        <v>0</v>
      </c>
      <c r="BI35" s="10">
        <f t="shared" si="39"/>
        <v>0</v>
      </c>
      <c r="BJ35" s="79"/>
      <c r="BK35" s="4">
        <f>COUNTIF(Orders!$S$17:$S$36,B35)</f>
        <v>0</v>
      </c>
      <c r="BL35" s="10">
        <f t="shared" si="21"/>
        <v>0</v>
      </c>
      <c r="BM35" s="10">
        <f t="shared" si="22"/>
        <v>0</v>
      </c>
      <c r="BN35" s="10">
        <f t="shared" si="23"/>
        <v>0</v>
      </c>
      <c r="BO35" s="10">
        <f t="shared" si="24"/>
        <v>0</v>
      </c>
      <c r="BP35" s="10">
        <f t="shared" si="25"/>
        <v>0</v>
      </c>
      <c r="BQ35" s="10">
        <f t="shared" si="26"/>
        <v>0</v>
      </c>
      <c r="BR35" s="10">
        <f t="shared" si="40"/>
        <v>0</v>
      </c>
      <c r="BS35" s="10">
        <f t="shared" si="41"/>
        <v>0</v>
      </c>
    </row>
    <row r="36" spans="2:71" ht="12.75">
      <c r="B36" s="38">
        <f t="shared" si="42"/>
        <v>18</v>
      </c>
      <c r="C36" s="195"/>
      <c r="D36" s="311"/>
      <c r="E36" s="311"/>
      <c r="F36" s="311"/>
      <c r="G36" s="196"/>
      <c r="H36" s="195"/>
      <c r="I36" s="195"/>
      <c r="J36" s="195"/>
      <c r="K36" s="195"/>
      <c r="L36" s="195"/>
      <c r="M36" s="195"/>
      <c r="N36" s="197"/>
      <c r="O36" s="8">
        <f t="shared" si="27"/>
      </c>
      <c r="P36" s="195"/>
      <c r="Q36" s="195"/>
      <c r="R36" s="76">
        <f t="shared" si="0"/>
        <v>0</v>
      </c>
      <c r="S36" s="10">
        <f t="shared" si="28"/>
        <v>0</v>
      </c>
      <c r="T36" s="64" t="e">
        <f t="shared" si="1"/>
        <v>#N/A</v>
      </c>
      <c r="U36" s="64">
        <f t="shared" si="29"/>
        <v>0</v>
      </c>
      <c r="V36" s="195"/>
      <c r="W36" s="195"/>
      <c r="X36" s="195"/>
      <c r="Y36" s="195"/>
      <c r="Z36" s="195"/>
      <c r="AA36" s="215">
        <f t="shared" si="30"/>
      </c>
      <c r="AB36" s="4">
        <f t="shared" si="31"/>
        <v>0</v>
      </c>
      <c r="AC36" s="4">
        <f t="shared" si="32"/>
        <v>0</v>
      </c>
      <c r="AD36" s="4">
        <f t="shared" si="33"/>
        <v>0</v>
      </c>
      <c r="AE36" s="4">
        <f t="shared" si="34"/>
        <v>0</v>
      </c>
      <c r="AF36" s="79"/>
      <c r="AG36" s="10">
        <f>COUNTIF(Orders!$A$17:$A$36,B36)</f>
        <v>0</v>
      </c>
      <c r="AH36" s="10">
        <f t="shared" si="2"/>
        <v>0</v>
      </c>
      <c r="AI36" s="10">
        <f t="shared" si="3"/>
        <v>0</v>
      </c>
      <c r="AJ36" s="10">
        <f t="shared" si="4"/>
        <v>0</v>
      </c>
      <c r="AK36" s="10">
        <f t="shared" si="35"/>
        <v>0</v>
      </c>
      <c r="AL36" s="10">
        <f t="shared" si="5"/>
        <v>0</v>
      </c>
      <c r="AM36" s="10">
        <f t="shared" si="6"/>
        <v>0</v>
      </c>
      <c r="AN36" s="10">
        <f t="shared" si="7"/>
        <v>0</v>
      </c>
      <c r="AO36" s="10">
        <f t="shared" si="36"/>
        <v>0</v>
      </c>
      <c r="AP36" s="74"/>
      <c r="AQ36" s="4">
        <f>COUNTIF(Orders!$G$17:$G$36,B36)</f>
        <v>0</v>
      </c>
      <c r="AR36" s="10">
        <f t="shared" si="8"/>
        <v>0</v>
      </c>
      <c r="AS36" s="10">
        <f t="shared" si="9"/>
        <v>0</v>
      </c>
      <c r="AT36" s="10">
        <f t="shared" si="10"/>
        <v>0</v>
      </c>
      <c r="AU36" s="10">
        <f t="shared" si="11"/>
        <v>0</v>
      </c>
      <c r="AV36" s="10">
        <f t="shared" si="12"/>
        <v>0</v>
      </c>
      <c r="AW36" s="10">
        <f t="shared" si="13"/>
        <v>0</v>
      </c>
      <c r="AX36" s="10">
        <f t="shared" si="14"/>
        <v>0</v>
      </c>
      <c r="AY36" s="10">
        <f t="shared" si="37"/>
        <v>0</v>
      </c>
      <c r="AZ36" s="79"/>
      <c r="BA36" s="4">
        <f>COUNTIF(Orders!$M$17:$M$36,B36)</f>
        <v>0</v>
      </c>
      <c r="BB36" s="10">
        <f t="shared" si="15"/>
        <v>0</v>
      </c>
      <c r="BC36" s="10">
        <f t="shared" si="16"/>
        <v>0</v>
      </c>
      <c r="BD36" s="10">
        <f t="shared" si="17"/>
        <v>0</v>
      </c>
      <c r="BE36" s="10">
        <f t="shared" si="18"/>
        <v>0</v>
      </c>
      <c r="BF36" s="10">
        <f t="shared" si="19"/>
        <v>0</v>
      </c>
      <c r="BG36" s="10">
        <f t="shared" si="20"/>
        <v>0</v>
      </c>
      <c r="BH36" s="10">
        <f t="shared" si="38"/>
        <v>0</v>
      </c>
      <c r="BI36" s="10">
        <f t="shared" si="39"/>
        <v>0</v>
      </c>
      <c r="BJ36" s="79"/>
      <c r="BK36" s="4">
        <f>COUNTIF(Orders!$S$17:$S$36,B36)</f>
        <v>0</v>
      </c>
      <c r="BL36" s="10">
        <f t="shared" si="21"/>
        <v>0</v>
      </c>
      <c r="BM36" s="10">
        <f t="shared" si="22"/>
        <v>0</v>
      </c>
      <c r="BN36" s="10">
        <f t="shared" si="23"/>
        <v>0</v>
      </c>
      <c r="BO36" s="10">
        <f t="shared" si="24"/>
        <v>0</v>
      </c>
      <c r="BP36" s="10">
        <f t="shared" si="25"/>
        <v>0</v>
      </c>
      <c r="BQ36" s="10">
        <f t="shared" si="26"/>
        <v>0</v>
      </c>
      <c r="BR36" s="10">
        <f t="shared" si="40"/>
        <v>0</v>
      </c>
      <c r="BS36" s="10">
        <f t="shared" si="41"/>
        <v>0</v>
      </c>
    </row>
    <row r="37" spans="2:71" ht="12.75">
      <c r="B37" s="38">
        <f t="shared" si="42"/>
        <v>19</v>
      </c>
      <c r="C37" s="195"/>
      <c r="D37" s="311"/>
      <c r="E37" s="311"/>
      <c r="F37" s="311"/>
      <c r="G37" s="196"/>
      <c r="H37" s="195"/>
      <c r="I37" s="195"/>
      <c r="J37" s="195"/>
      <c r="K37" s="195"/>
      <c r="L37" s="195"/>
      <c r="M37" s="195"/>
      <c r="N37" s="197"/>
      <c r="O37" s="8">
        <f t="shared" si="27"/>
      </c>
      <c r="P37" s="195"/>
      <c r="Q37" s="195"/>
      <c r="R37" s="76">
        <f t="shared" si="0"/>
        <v>0</v>
      </c>
      <c r="S37" s="10">
        <f t="shared" si="28"/>
        <v>0</v>
      </c>
      <c r="T37" s="64" t="e">
        <f t="shared" si="1"/>
        <v>#N/A</v>
      </c>
      <c r="U37" s="64">
        <f t="shared" si="29"/>
        <v>0</v>
      </c>
      <c r="V37" s="195"/>
      <c r="W37" s="195"/>
      <c r="X37" s="195"/>
      <c r="Y37" s="195"/>
      <c r="Z37" s="195"/>
      <c r="AA37" s="215">
        <f t="shared" si="30"/>
      </c>
      <c r="AB37" s="4">
        <f t="shared" si="31"/>
        <v>0</v>
      </c>
      <c r="AC37" s="4">
        <f t="shared" si="32"/>
        <v>0</v>
      </c>
      <c r="AD37" s="4">
        <f t="shared" si="33"/>
        <v>0</v>
      </c>
      <c r="AE37" s="4">
        <f t="shared" si="34"/>
        <v>0</v>
      </c>
      <c r="AF37" s="79"/>
      <c r="AG37" s="10">
        <f>COUNTIF(Orders!$A$17:$A$36,B37)</f>
        <v>0</v>
      </c>
      <c r="AH37" s="10">
        <f t="shared" si="2"/>
        <v>0</v>
      </c>
      <c r="AI37" s="10">
        <f t="shared" si="3"/>
        <v>0</v>
      </c>
      <c r="AJ37" s="10">
        <f t="shared" si="4"/>
        <v>0</v>
      </c>
      <c r="AK37" s="10">
        <f t="shared" si="35"/>
        <v>0</v>
      </c>
      <c r="AL37" s="10">
        <f t="shared" si="5"/>
        <v>0</v>
      </c>
      <c r="AM37" s="10">
        <f t="shared" si="6"/>
        <v>0</v>
      </c>
      <c r="AN37" s="10">
        <f t="shared" si="7"/>
        <v>0</v>
      </c>
      <c r="AO37" s="10">
        <f t="shared" si="36"/>
        <v>0</v>
      </c>
      <c r="AP37" s="74"/>
      <c r="AQ37" s="4">
        <f>COUNTIF(Orders!$G$17:$G$36,B37)</f>
        <v>0</v>
      </c>
      <c r="AR37" s="10">
        <f t="shared" si="8"/>
        <v>0</v>
      </c>
      <c r="AS37" s="10">
        <f t="shared" si="9"/>
        <v>0</v>
      </c>
      <c r="AT37" s="10">
        <f t="shared" si="10"/>
        <v>0</v>
      </c>
      <c r="AU37" s="10">
        <f t="shared" si="11"/>
        <v>0</v>
      </c>
      <c r="AV37" s="10">
        <f t="shared" si="12"/>
        <v>0</v>
      </c>
      <c r="AW37" s="10">
        <f t="shared" si="13"/>
        <v>0</v>
      </c>
      <c r="AX37" s="10">
        <f t="shared" si="14"/>
        <v>0</v>
      </c>
      <c r="AY37" s="10">
        <f t="shared" si="37"/>
        <v>0</v>
      </c>
      <c r="AZ37" s="79"/>
      <c r="BA37" s="4">
        <f>COUNTIF(Orders!$M$17:$M$36,B37)</f>
        <v>0</v>
      </c>
      <c r="BB37" s="10">
        <f t="shared" si="15"/>
        <v>0</v>
      </c>
      <c r="BC37" s="10">
        <f t="shared" si="16"/>
        <v>0</v>
      </c>
      <c r="BD37" s="10">
        <f t="shared" si="17"/>
        <v>0</v>
      </c>
      <c r="BE37" s="10">
        <f t="shared" si="18"/>
        <v>0</v>
      </c>
      <c r="BF37" s="10">
        <f t="shared" si="19"/>
        <v>0</v>
      </c>
      <c r="BG37" s="10">
        <f t="shared" si="20"/>
        <v>0</v>
      </c>
      <c r="BH37" s="10">
        <f t="shared" si="38"/>
        <v>0</v>
      </c>
      <c r="BI37" s="10">
        <f t="shared" si="39"/>
        <v>0</v>
      </c>
      <c r="BJ37" s="79"/>
      <c r="BK37" s="4">
        <f>COUNTIF(Orders!$S$17:$S$36,B37)</f>
        <v>0</v>
      </c>
      <c r="BL37" s="10">
        <f t="shared" si="21"/>
        <v>0</v>
      </c>
      <c r="BM37" s="10">
        <f t="shared" si="22"/>
        <v>0</v>
      </c>
      <c r="BN37" s="10">
        <f t="shared" si="23"/>
        <v>0</v>
      </c>
      <c r="BO37" s="10">
        <f t="shared" si="24"/>
        <v>0</v>
      </c>
      <c r="BP37" s="10">
        <f t="shared" si="25"/>
        <v>0</v>
      </c>
      <c r="BQ37" s="10">
        <f t="shared" si="26"/>
        <v>0</v>
      </c>
      <c r="BR37" s="10">
        <f t="shared" si="40"/>
        <v>0</v>
      </c>
      <c r="BS37" s="10">
        <f t="shared" si="41"/>
        <v>0</v>
      </c>
    </row>
    <row r="38" spans="2:71" ht="12.75">
      <c r="B38" s="38">
        <f t="shared" si="42"/>
        <v>20</v>
      </c>
      <c r="C38" s="195"/>
      <c r="D38" s="311"/>
      <c r="E38" s="311"/>
      <c r="F38" s="311"/>
      <c r="G38" s="196"/>
      <c r="H38" s="195"/>
      <c r="I38" s="195"/>
      <c r="J38" s="195"/>
      <c r="K38" s="195"/>
      <c r="L38" s="195"/>
      <c r="M38" s="195"/>
      <c r="N38" s="197"/>
      <c r="O38" s="8">
        <f t="shared" si="27"/>
      </c>
      <c r="P38" s="195"/>
      <c r="Q38" s="195"/>
      <c r="R38" s="76">
        <f t="shared" si="0"/>
        <v>0</v>
      </c>
      <c r="S38" s="10">
        <f t="shared" si="28"/>
        <v>0</v>
      </c>
      <c r="T38" s="64" t="e">
        <f t="shared" si="1"/>
        <v>#N/A</v>
      </c>
      <c r="U38" s="64">
        <f t="shared" si="29"/>
        <v>0</v>
      </c>
      <c r="V38" s="195"/>
      <c r="W38" s="195"/>
      <c r="X38" s="195"/>
      <c r="Y38" s="195"/>
      <c r="Z38" s="195"/>
      <c r="AA38" s="215">
        <f t="shared" si="30"/>
      </c>
      <c r="AB38" s="4">
        <f t="shared" si="31"/>
        <v>0</v>
      </c>
      <c r="AC38" s="4">
        <f t="shared" si="32"/>
        <v>0</v>
      </c>
      <c r="AD38" s="4">
        <f t="shared" si="33"/>
        <v>0</v>
      </c>
      <c r="AE38" s="4">
        <f t="shared" si="34"/>
        <v>0</v>
      </c>
      <c r="AF38" s="79"/>
      <c r="AG38" s="10">
        <f>COUNTIF(Orders!$A$17:$A$36,B38)</f>
        <v>0</v>
      </c>
      <c r="AH38" s="10">
        <f t="shared" si="2"/>
        <v>0</v>
      </c>
      <c r="AI38" s="10">
        <f t="shared" si="3"/>
        <v>0</v>
      </c>
      <c r="AJ38" s="10">
        <f t="shared" si="4"/>
        <v>0</v>
      </c>
      <c r="AK38" s="10">
        <f t="shared" si="35"/>
        <v>0</v>
      </c>
      <c r="AL38" s="10">
        <f t="shared" si="5"/>
        <v>0</v>
      </c>
      <c r="AM38" s="10">
        <f t="shared" si="6"/>
        <v>0</v>
      </c>
      <c r="AN38" s="10">
        <f t="shared" si="7"/>
        <v>0</v>
      </c>
      <c r="AO38" s="10">
        <f t="shared" si="36"/>
        <v>0</v>
      </c>
      <c r="AP38" s="74"/>
      <c r="AQ38" s="4">
        <f>COUNTIF(Orders!$G$17:$G$36,B38)</f>
        <v>0</v>
      </c>
      <c r="AR38" s="10">
        <f t="shared" si="8"/>
        <v>0</v>
      </c>
      <c r="AS38" s="10">
        <f t="shared" si="9"/>
        <v>0</v>
      </c>
      <c r="AT38" s="10">
        <f t="shared" si="10"/>
        <v>0</v>
      </c>
      <c r="AU38" s="10">
        <f t="shared" si="11"/>
        <v>0</v>
      </c>
      <c r="AV38" s="10">
        <f t="shared" si="12"/>
        <v>0</v>
      </c>
      <c r="AW38" s="10">
        <f t="shared" si="13"/>
        <v>0</v>
      </c>
      <c r="AX38" s="10">
        <f t="shared" si="14"/>
        <v>0</v>
      </c>
      <c r="AY38" s="10">
        <f t="shared" si="37"/>
        <v>0</v>
      </c>
      <c r="AZ38" s="79"/>
      <c r="BA38" s="4">
        <f>COUNTIF(Orders!$M$17:$M$36,B38)</f>
        <v>0</v>
      </c>
      <c r="BB38" s="10">
        <f t="shared" si="15"/>
        <v>0</v>
      </c>
      <c r="BC38" s="10">
        <f t="shared" si="16"/>
        <v>0</v>
      </c>
      <c r="BD38" s="10">
        <f t="shared" si="17"/>
        <v>0</v>
      </c>
      <c r="BE38" s="10">
        <f t="shared" si="18"/>
        <v>0</v>
      </c>
      <c r="BF38" s="10">
        <f t="shared" si="19"/>
        <v>0</v>
      </c>
      <c r="BG38" s="10">
        <f t="shared" si="20"/>
        <v>0</v>
      </c>
      <c r="BH38" s="10">
        <f t="shared" si="38"/>
        <v>0</v>
      </c>
      <c r="BI38" s="10">
        <f t="shared" si="39"/>
        <v>0</v>
      </c>
      <c r="BJ38" s="79"/>
      <c r="BK38" s="4">
        <f>COUNTIF(Orders!$S$17:$S$36,B38)</f>
        <v>0</v>
      </c>
      <c r="BL38" s="10">
        <f t="shared" si="21"/>
        <v>0</v>
      </c>
      <c r="BM38" s="10">
        <f t="shared" si="22"/>
        <v>0</v>
      </c>
      <c r="BN38" s="10">
        <f t="shared" si="23"/>
        <v>0</v>
      </c>
      <c r="BO38" s="10">
        <f t="shared" si="24"/>
        <v>0</v>
      </c>
      <c r="BP38" s="10">
        <f t="shared" si="25"/>
        <v>0</v>
      </c>
      <c r="BQ38" s="10">
        <f t="shared" si="26"/>
        <v>0</v>
      </c>
      <c r="BR38" s="10">
        <f t="shared" si="40"/>
        <v>0</v>
      </c>
      <c r="BS38" s="10">
        <f t="shared" si="41"/>
        <v>0</v>
      </c>
    </row>
    <row r="39" spans="2:71" ht="12.75">
      <c r="B39" s="38">
        <f t="shared" si="42"/>
        <v>21</v>
      </c>
      <c r="C39" s="195"/>
      <c r="D39" s="311"/>
      <c r="E39" s="311"/>
      <c r="F39" s="311"/>
      <c r="G39" s="196"/>
      <c r="H39" s="195"/>
      <c r="I39" s="195"/>
      <c r="J39" s="195"/>
      <c r="K39" s="195"/>
      <c r="L39" s="195"/>
      <c r="M39" s="195"/>
      <c r="N39" s="197"/>
      <c r="O39" s="8">
        <f t="shared" si="27"/>
      </c>
      <c r="P39" s="195"/>
      <c r="Q39" s="195"/>
      <c r="R39" s="76">
        <f t="shared" si="0"/>
        <v>0</v>
      </c>
      <c r="S39" s="10">
        <f t="shared" si="28"/>
        <v>0</v>
      </c>
      <c r="T39" s="64" t="e">
        <f t="shared" si="1"/>
        <v>#N/A</v>
      </c>
      <c r="U39" s="64">
        <f t="shared" si="29"/>
        <v>0</v>
      </c>
      <c r="V39" s="195"/>
      <c r="W39" s="195"/>
      <c r="X39" s="195"/>
      <c r="Y39" s="195"/>
      <c r="Z39" s="195"/>
      <c r="AA39" s="215">
        <f t="shared" si="30"/>
      </c>
      <c r="AB39" s="4">
        <f t="shared" si="31"/>
        <v>0</v>
      </c>
      <c r="AC39" s="4">
        <f t="shared" si="32"/>
        <v>0</v>
      </c>
      <c r="AD39" s="4">
        <f t="shared" si="33"/>
        <v>0</v>
      </c>
      <c r="AE39" s="4">
        <f t="shared" si="34"/>
        <v>0</v>
      </c>
      <c r="AF39" s="79"/>
      <c r="AG39" s="10">
        <f>COUNTIF(Orders!$A$17:$A$36,B39)</f>
        <v>0</v>
      </c>
      <c r="AH39" s="10">
        <f t="shared" si="2"/>
        <v>0</v>
      </c>
      <c r="AI39" s="10">
        <f t="shared" si="3"/>
        <v>0</v>
      </c>
      <c r="AJ39" s="10">
        <f t="shared" si="4"/>
        <v>0</v>
      </c>
      <c r="AK39" s="10">
        <f t="shared" si="35"/>
        <v>0</v>
      </c>
      <c r="AL39" s="10">
        <f t="shared" si="5"/>
        <v>0</v>
      </c>
      <c r="AM39" s="10">
        <f t="shared" si="6"/>
        <v>0</v>
      </c>
      <c r="AN39" s="10">
        <f t="shared" si="7"/>
        <v>0</v>
      </c>
      <c r="AO39" s="10">
        <f t="shared" si="36"/>
        <v>0</v>
      </c>
      <c r="AP39" s="74"/>
      <c r="AQ39" s="4">
        <f>COUNTIF(Orders!$G$17:$G$36,B39)</f>
        <v>0</v>
      </c>
      <c r="AR39" s="10">
        <f t="shared" si="8"/>
        <v>0</v>
      </c>
      <c r="AS39" s="10">
        <f t="shared" si="9"/>
        <v>0</v>
      </c>
      <c r="AT39" s="10">
        <f t="shared" si="10"/>
        <v>0</v>
      </c>
      <c r="AU39" s="10">
        <f t="shared" si="11"/>
        <v>0</v>
      </c>
      <c r="AV39" s="10">
        <f t="shared" si="12"/>
        <v>0</v>
      </c>
      <c r="AW39" s="10">
        <f t="shared" si="13"/>
        <v>0</v>
      </c>
      <c r="AX39" s="10">
        <f t="shared" si="14"/>
        <v>0</v>
      </c>
      <c r="AY39" s="10">
        <f t="shared" si="37"/>
        <v>0</v>
      </c>
      <c r="AZ39" s="79"/>
      <c r="BA39" s="4">
        <f>COUNTIF(Orders!$M$17:$M$36,B39)</f>
        <v>0</v>
      </c>
      <c r="BB39" s="10">
        <f t="shared" si="15"/>
        <v>0</v>
      </c>
      <c r="BC39" s="10">
        <f t="shared" si="16"/>
        <v>0</v>
      </c>
      <c r="BD39" s="10">
        <f t="shared" si="17"/>
        <v>0</v>
      </c>
      <c r="BE39" s="10">
        <f t="shared" si="18"/>
        <v>0</v>
      </c>
      <c r="BF39" s="10">
        <f t="shared" si="19"/>
        <v>0</v>
      </c>
      <c r="BG39" s="10">
        <f t="shared" si="20"/>
        <v>0</v>
      </c>
      <c r="BH39" s="10">
        <f t="shared" si="38"/>
        <v>0</v>
      </c>
      <c r="BI39" s="10">
        <f t="shared" si="39"/>
        <v>0</v>
      </c>
      <c r="BJ39" s="79"/>
      <c r="BK39" s="4">
        <f>COUNTIF(Orders!$S$17:$S$36,B39)</f>
        <v>0</v>
      </c>
      <c r="BL39" s="10">
        <f t="shared" si="21"/>
        <v>0</v>
      </c>
      <c r="BM39" s="10">
        <f t="shared" si="22"/>
        <v>0</v>
      </c>
      <c r="BN39" s="10">
        <f t="shared" si="23"/>
        <v>0</v>
      </c>
      <c r="BO39" s="10">
        <f t="shared" si="24"/>
        <v>0</v>
      </c>
      <c r="BP39" s="10">
        <f t="shared" si="25"/>
        <v>0</v>
      </c>
      <c r="BQ39" s="10">
        <f t="shared" si="26"/>
        <v>0</v>
      </c>
      <c r="BR39" s="10">
        <f t="shared" si="40"/>
        <v>0</v>
      </c>
      <c r="BS39" s="10">
        <f t="shared" si="41"/>
        <v>0</v>
      </c>
    </row>
    <row r="40" spans="2:71" ht="12.75">
      <c r="B40" s="38">
        <f t="shared" si="42"/>
        <v>22</v>
      </c>
      <c r="C40" s="195"/>
      <c r="D40" s="311"/>
      <c r="E40" s="311"/>
      <c r="F40" s="311"/>
      <c r="G40" s="196"/>
      <c r="H40" s="195"/>
      <c r="I40" s="195"/>
      <c r="J40" s="195"/>
      <c r="K40" s="195"/>
      <c r="L40" s="195"/>
      <c r="M40" s="195"/>
      <c r="N40" s="197"/>
      <c r="O40" s="8">
        <f t="shared" si="27"/>
      </c>
      <c r="P40" s="195"/>
      <c r="Q40" s="195"/>
      <c r="R40" s="76">
        <f t="shared" si="0"/>
        <v>0</v>
      </c>
      <c r="S40" s="10">
        <f t="shared" si="28"/>
        <v>0</v>
      </c>
      <c r="T40" s="64" t="e">
        <f t="shared" si="1"/>
        <v>#N/A</v>
      </c>
      <c r="U40" s="64">
        <f t="shared" si="29"/>
        <v>0</v>
      </c>
      <c r="V40" s="195"/>
      <c r="W40" s="195"/>
      <c r="X40" s="195"/>
      <c r="Y40" s="195"/>
      <c r="Z40" s="195"/>
      <c r="AA40" s="215">
        <f t="shared" si="30"/>
      </c>
      <c r="AB40" s="4">
        <f t="shared" si="31"/>
        <v>0</v>
      </c>
      <c r="AC40" s="4">
        <f t="shared" si="32"/>
        <v>0</v>
      </c>
      <c r="AD40" s="4">
        <f t="shared" si="33"/>
        <v>0</v>
      </c>
      <c r="AE40" s="4">
        <f t="shared" si="34"/>
        <v>0</v>
      </c>
      <c r="AF40" s="79"/>
      <c r="AG40" s="10">
        <f>COUNTIF(Orders!$A$17:$A$36,B40)</f>
        <v>0</v>
      </c>
      <c r="AH40" s="10">
        <f t="shared" si="2"/>
        <v>0</v>
      </c>
      <c r="AI40" s="10">
        <f t="shared" si="3"/>
        <v>0</v>
      </c>
      <c r="AJ40" s="10">
        <f t="shared" si="4"/>
        <v>0</v>
      </c>
      <c r="AK40" s="10">
        <f t="shared" si="35"/>
        <v>0</v>
      </c>
      <c r="AL40" s="10">
        <f t="shared" si="5"/>
        <v>0</v>
      </c>
      <c r="AM40" s="10">
        <f t="shared" si="6"/>
        <v>0</v>
      </c>
      <c r="AN40" s="10">
        <f t="shared" si="7"/>
        <v>0</v>
      </c>
      <c r="AO40" s="10">
        <f t="shared" si="36"/>
        <v>0</v>
      </c>
      <c r="AP40" s="74"/>
      <c r="AQ40" s="4">
        <f>COUNTIF(Orders!$G$17:$G$36,B40)</f>
        <v>0</v>
      </c>
      <c r="AR40" s="10">
        <f t="shared" si="8"/>
        <v>0</v>
      </c>
      <c r="AS40" s="10">
        <f t="shared" si="9"/>
        <v>0</v>
      </c>
      <c r="AT40" s="10">
        <f t="shared" si="10"/>
        <v>0</v>
      </c>
      <c r="AU40" s="10">
        <f t="shared" si="11"/>
        <v>0</v>
      </c>
      <c r="AV40" s="10">
        <f t="shared" si="12"/>
        <v>0</v>
      </c>
      <c r="AW40" s="10">
        <f t="shared" si="13"/>
        <v>0</v>
      </c>
      <c r="AX40" s="10">
        <f t="shared" si="14"/>
        <v>0</v>
      </c>
      <c r="AY40" s="10">
        <f t="shared" si="37"/>
        <v>0</v>
      </c>
      <c r="AZ40" s="79"/>
      <c r="BA40" s="4">
        <f>COUNTIF(Orders!$M$17:$M$36,B40)</f>
        <v>0</v>
      </c>
      <c r="BB40" s="10">
        <f t="shared" si="15"/>
        <v>0</v>
      </c>
      <c r="BC40" s="10">
        <f t="shared" si="16"/>
        <v>0</v>
      </c>
      <c r="BD40" s="10">
        <f t="shared" si="17"/>
        <v>0</v>
      </c>
      <c r="BE40" s="10">
        <f t="shared" si="18"/>
        <v>0</v>
      </c>
      <c r="BF40" s="10">
        <f t="shared" si="19"/>
        <v>0</v>
      </c>
      <c r="BG40" s="10">
        <f t="shared" si="20"/>
        <v>0</v>
      </c>
      <c r="BH40" s="10">
        <f t="shared" si="38"/>
        <v>0</v>
      </c>
      <c r="BI40" s="10">
        <f t="shared" si="39"/>
        <v>0</v>
      </c>
      <c r="BJ40" s="79"/>
      <c r="BK40" s="4">
        <f>COUNTIF(Orders!$S$17:$S$36,B40)</f>
        <v>0</v>
      </c>
      <c r="BL40" s="10">
        <f t="shared" si="21"/>
        <v>0</v>
      </c>
      <c r="BM40" s="10">
        <f t="shared" si="22"/>
        <v>0</v>
      </c>
      <c r="BN40" s="10">
        <f t="shared" si="23"/>
        <v>0</v>
      </c>
      <c r="BO40" s="10">
        <f t="shared" si="24"/>
        <v>0</v>
      </c>
      <c r="BP40" s="10">
        <f t="shared" si="25"/>
        <v>0</v>
      </c>
      <c r="BQ40" s="10">
        <f t="shared" si="26"/>
        <v>0</v>
      </c>
      <c r="BR40" s="10">
        <f t="shared" si="40"/>
        <v>0</v>
      </c>
      <c r="BS40" s="10">
        <f t="shared" si="41"/>
        <v>0</v>
      </c>
    </row>
    <row r="41" spans="2:71" ht="12.75">
      <c r="B41" s="38">
        <f t="shared" si="42"/>
        <v>23</v>
      </c>
      <c r="C41" s="195"/>
      <c r="D41" s="311"/>
      <c r="E41" s="311"/>
      <c r="F41" s="311"/>
      <c r="G41" s="196"/>
      <c r="H41" s="195"/>
      <c r="I41" s="195"/>
      <c r="J41" s="195"/>
      <c r="K41" s="195"/>
      <c r="L41" s="195"/>
      <c r="M41" s="195"/>
      <c r="N41" s="197"/>
      <c r="O41" s="8">
        <f t="shared" si="27"/>
      </c>
      <c r="P41" s="195"/>
      <c r="Q41" s="195"/>
      <c r="R41" s="76">
        <f t="shared" si="0"/>
        <v>0</v>
      </c>
      <c r="S41" s="10">
        <f t="shared" si="28"/>
        <v>0</v>
      </c>
      <c r="T41" s="64" t="e">
        <f t="shared" si="1"/>
        <v>#N/A</v>
      </c>
      <c r="U41" s="64">
        <f t="shared" si="29"/>
        <v>0</v>
      </c>
      <c r="V41" s="195"/>
      <c r="W41" s="195"/>
      <c r="X41" s="195"/>
      <c r="Y41" s="195"/>
      <c r="Z41" s="195"/>
      <c r="AA41" s="215">
        <f t="shared" si="30"/>
      </c>
      <c r="AB41" s="4">
        <f t="shared" si="31"/>
        <v>0</v>
      </c>
      <c r="AC41" s="4">
        <f t="shared" si="32"/>
        <v>0</v>
      </c>
      <c r="AD41" s="4">
        <f t="shared" si="33"/>
        <v>0</v>
      </c>
      <c r="AE41" s="4">
        <f t="shared" si="34"/>
        <v>0</v>
      </c>
      <c r="AF41" s="79"/>
      <c r="AG41" s="10">
        <f>COUNTIF(Orders!$A$17:$A$36,B41)</f>
        <v>0</v>
      </c>
      <c r="AH41" s="10">
        <f t="shared" si="2"/>
        <v>0</v>
      </c>
      <c r="AI41" s="10">
        <f t="shared" si="3"/>
        <v>0</v>
      </c>
      <c r="AJ41" s="10">
        <f t="shared" si="4"/>
        <v>0</v>
      </c>
      <c r="AK41" s="10">
        <f t="shared" si="35"/>
        <v>0</v>
      </c>
      <c r="AL41" s="10">
        <f t="shared" si="5"/>
        <v>0</v>
      </c>
      <c r="AM41" s="10">
        <f t="shared" si="6"/>
        <v>0</v>
      </c>
      <c r="AN41" s="10">
        <f t="shared" si="7"/>
        <v>0</v>
      </c>
      <c r="AO41" s="10">
        <f t="shared" si="36"/>
        <v>0</v>
      </c>
      <c r="AP41" s="74"/>
      <c r="AQ41" s="4">
        <f>COUNTIF(Orders!$G$17:$G$36,B41)</f>
        <v>0</v>
      </c>
      <c r="AR41" s="10">
        <f t="shared" si="8"/>
        <v>0</v>
      </c>
      <c r="AS41" s="10">
        <f t="shared" si="9"/>
        <v>0</v>
      </c>
      <c r="AT41" s="10">
        <f t="shared" si="10"/>
        <v>0</v>
      </c>
      <c r="AU41" s="10">
        <f t="shared" si="11"/>
        <v>0</v>
      </c>
      <c r="AV41" s="10">
        <f t="shared" si="12"/>
        <v>0</v>
      </c>
      <c r="AW41" s="10">
        <f t="shared" si="13"/>
        <v>0</v>
      </c>
      <c r="AX41" s="10">
        <f t="shared" si="14"/>
        <v>0</v>
      </c>
      <c r="AY41" s="10">
        <f t="shared" si="37"/>
        <v>0</v>
      </c>
      <c r="AZ41" s="79"/>
      <c r="BA41" s="4">
        <f>COUNTIF(Orders!$M$17:$M$36,B41)</f>
        <v>0</v>
      </c>
      <c r="BB41" s="10">
        <f t="shared" si="15"/>
        <v>0</v>
      </c>
      <c r="BC41" s="10">
        <f t="shared" si="16"/>
        <v>0</v>
      </c>
      <c r="BD41" s="10">
        <f t="shared" si="17"/>
        <v>0</v>
      </c>
      <c r="BE41" s="10">
        <f t="shared" si="18"/>
        <v>0</v>
      </c>
      <c r="BF41" s="10">
        <f t="shared" si="19"/>
        <v>0</v>
      </c>
      <c r="BG41" s="10">
        <f t="shared" si="20"/>
        <v>0</v>
      </c>
      <c r="BH41" s="10">
        <f t="shared" si="38"/>
        <v>0</v>
      </c>
      <c r="BI41" s="10">
        <f t="shared" si="39"/>
        <v>0</v>
      </c>
      <c r="BJ41" s="79"/>
      <c r="BK41" s="4">
        <f>COUNTIF(Orders!$S$17:$S$36,B41)</f>
        <v>0</v>
      </c>
      <c r="BL41" s="10">
        <f t="shared" si="21"/>
        <v>0</v>
      </c>
      <c r="BM41" s="10">
        <f t="shared" si="22"/>
        <v>0</v>
      </c>
      <c r="BN41" s="10">
        <f t="shared" si="23"/>
        <v>0</v>
      </c>
      <c r="BO41" s="10">
        <f t="shared" si="24"/>
        <v>0</v>
      </c>
      <c r="BP41" s="10">
        <f t="shared" si="25"/>
        <v>0</v>
      </c>
      <c r="BQ41" s="10">
        <f t="shared" si="26"/>
        <v>0</v>
      </c>
      <c r="BR41" s="10">
        <f t="shared" si="40"/>
        <v>0</v>
      </c>
      <c r="BS41" s="10">
        <f t="shared" si="41"/>
        <v>0</v>
      </c>
    </row>
    <row r="42" spans="2:71" ht="12.75">
      <c r="B42" s="38">
        <f t="shared" si="42"/>
        <v>24</v>
      </c>
      <c r="C42" s="195"/>
      <c r="D42" s="311"/>
      <c r="E42" s="311"/>
      <c r="F42" s="311"/>
      <c r="G42" s="196"/>
      <c r="H42" s="195"/>
      <c r="I42" s="195"/>
      <c r="J42" s="195"/>
      <c r="K42" s="195"/>
      <c r="L42" s="195"/>
      <c r="M42" s="195"/>
      <c r="N42" s="197"/>
      <c r="O42" s="8">
        <f t="shared" si="27"/>
      </c>
      <c r="P42" s="195"/>
      <c r="Q42" s="195"/>
      <c r="R42" s="76">
        <f t="shared" si="0"/>
        <v>0</v>
      </c>
      <c r="S42" s="10">
        <f t="shared" si="28"/>
        <v>0</v>
      </c>
      <c r="T42" s="64" t="e">
        <f t="shared" si="1"/>
        <v>#N/A</v>
      </c>
      <c r="U42" s="64">
        <f t="shared" si="29"/>
        <v>0</v>
      </c>
      <c r="V42" s="195"/>
      <c r="W42" s="195"/>
      <c r="X42" s="195"/>
      <c r="Y42" s="195"/>
      <c r="Z42" s="195"/>
      <c r="AA42" s="215">
        <f t="shared" si="30"/>
      </c>
      <c r="AB42" s="4">
        <f t="shared" si="31"/>
        <v>0</v>
      </c>
      <c r="AC42" s="4">
        <f t="shared" si="32"/>
        <v>0</v>
      </c>
      <c r="AD42" s="4">
        <f t="shared" si="33"/>
        <v>0</v>
      </c>
      <c r="AE42" s="4">
        <f t="shared" si="34"/>
        <v>0</v>
      </c>
      <c r="AF42" s="79"/>
      <c r="AG42" s="10">
        <f>COUNTIF(Orders!$A$17:$A$36,B42)</f>
        <v>0</v>
      </c>
      <c r="AH42" s="10">
        <f t="shared" si="2"/>
        <v>0</v>
      </c>
      <c r="AI42" s="10">
        <f t="shared" si="3"/>
        <v>0</v>
      </c>
      <c r="AJ42" s="10">
        <f t="shared" si="4"/>
        <v>0</v>
      </c>
      <c r="AK42" s="10">
        <f t="shared" si="35"/>
        <v>0</v>
      </c>
      <c r="AL42" s="10">
        <f t="shared" si="5"/>
        <v>0</v>
      </c>
      <c r="AM42" s="10">
        <f t="shared" si="6"/>
        <v>0</v>
      </c>
      <c r="AN42" s="10">
        <f t="shared" si="7"/>
        <v>0</v>
      </c>
      <c r="AO42" s="10">
        <f t="shared" si="36"/>
        <v>0</v>
      </c>
      <c r="AP42" s="74"/>
      <c r="AQ42" s="4">
        <f>COUNTIF(Orders!$G$17:$G$36,B42)</f>
        <v>0</v>
      </c>
      <c r="AR42" s="10">
        <f t="shared" si="8"/>
        <v>0</v>
      </c>
      <c r="AS42" s="10">
        <f t="shared" si="9"/>
        <v>0</v>
      </c>
      <c r="AT42" s="10">
        <f t="shared" si="10"/>
        <v>0</v>
      </c>
      <c r="AU42" s="10">
        <f t="shared" si="11"/>
        <v>0</v>
      </c>
      <c r="AV42" s="10">
        <f t="shared" si="12"/>
        <v>0</v>
      </c>
      <c r="AW42" s="10">
        <f t="shared" si="13"/>
        <v>0</v>
      </c>
      <c r="AX42" s="10">
        <f t="shared" si="14"/>
        <v>0</v>
      </c>
      <c r="AY42" s="10">
        <f t="shared" si="37"/>
        <v>0</v>
      </c>
      <c r="AZ42" s="79"/>
      <c r="BA42" s="4">
        <f>COUNTIF(Orders!$M$17:$M$36,B42)</f>
        <v>0</v>
      </c>
      <c r="BB42" s="10">
        <f t="shared" si="15"/>
        <v>0</v>
      </c>
      <c r="BC42" s="10">
        <f t="shared" si="16"/>
        <v>0</v>
      </c>
      <c r="BD42" s="10">
        <f t="shared" si="17"/>
        <v>0</v>
      </c>
      <c r="BE42" s="10">
        <f t="shared" si="18"/>
        <v>0</v>
      </c>
      <c r="BF42" s="10">
        <f t="shared" si="19"/>
        <v>0</v>
      </c>
      <c r="BG42" s="10">
        <f t="shared" si="20"/>
        <v>0</v>
      </c>
      <c r="BH42" s="10">
        <f t="shared" si="38"/>
        <v>0</v>
      </c>
      <c r="BI42" s="10">
        <f t="shared" si="39"/>
        <v>0</v>
      </c>
      <c r="BJ42" s="79"/>
      <c r="BK42" s="4">
        <f>COUNTIF(Orders!$S$17:$S$36,B42)</f>
        <v>0</v>
      </c>
      <c r="BL42" s="10">
        <f t="shared" si="21"/>
        <v>0</v>
      </c>
      <c r="BM42" s="10">
        <f t="shared" si="22"/>
        <v>0</v>
      </c>
      <c r="BN42" s="10">
        <f t="shared" si="23"/>
        <v>0</v>
      </c>
      <c r="BO42" s="10">
        <f t="shared" si="24"/>
        <v>0</v>
      </c>
      <c r="BP42" s="10">
        <f t="shared" si="25"/>
        <v>0</v>
      </c>
      <c r="BQ42" s="10">
        <f t="shared" si="26"/>
        <v>0</v>
      </c>
      <c r="BR42" s="10">
        <f t="shared" si="40"/>
        <v>0</v>
      </c>
      <c r="BS42" s="10">
        <f t="shared" si="41"/>
        <v>0</v>
      </c>
    </row>
    <row r="43" spans="2:71" ht="12.75">
      <c r="B43" s="38">
        <f t="shared" si="42"/>
        <v>25</v>
      </c>
      <c r="C43" s="195"/>
      <c r="D43" s="311"/>
      <c r="E43" s="311"/>
      <c r="F43" s="311"/>
      <c r="G43" s="196"/>
      <c r="H43" s="195"/>
      <c r="I43" s="195"/>
      <c r="J43" s="195"/>
      <c r="K43" s="195"/>
      <c r="L43" s="195"/>
      <c r="M43" s="195"/>
      <c r="N43" s="197"/>
      <c r="O43" s="8">
        <f t="shared" si="27"/>
      </c>
      <c r="P43" s="195"/>
      <c r="Q43" s="195"/>
      <c r="R43" s="76">
        <f t="shared" si="0"/>
        <v>0</v>
      </c>
      <c r="S43" s="10">
        <f t="shared" si="28"/>
        <v>0</v>
      </c>
      <c r="T43" s="64" t="e">
        <f t="shared" si="1"/>
        <v>#N/A</v>
      </c>
      <c r="U43" s="64">
        <f t="shared" si="29"/>
        <v>0</v>
      </c>
      <c r="V43" s="195"/>
      <c r="W43" s="195"/>
      <c r="X43" s="195"/>
      <c r="Y43" s="195"/>
      <c r="Z43" s="195"/>
      <c r="AA43" s="215">
        <f t="shared" si="30"/>
      </c>
      <c r="AB43" s="4">
        <f t="shared" si="31"/>
        <v>0</v>
      </c>
      <c r="AC43" s="4">
        <f t="shared" si="32"/>
        <v>0</v>
      </c>
      <c r="AD43" s="4">
        <f t="shared" si="33"/>
        <v>0</v>
      </c>
      <c r="AE43" s="4">
        <f t="shared" si="34"/>
        <v>0</v>
      </c>
      <c r="AF43" s="79"/>
      <c r="AG43" s="10">
        <f>COUNTIF(Orders!$A$17:$A$36,B43)</f>
        <v>0</v>
      </c>
      <c r="AH43" s="10">
        <f t="shared" si="2"/>
        <v>0</v>
      </c>
      <c r="AI43" s="10">
        <f t="shared" si="3"/>
        <v>0</v>
      </c>
      <c r="AJ43" s="10">
        <f t="shared" si="4"/>
        <v>0</v>
      </c>
      <c r="AK43" s="10">
        <f t="shared" si="35"/>
        <v>0</v>
      </c>
      <c r="AL43" s="10">
        <f t="shared" si="5"/>
        <v>0</v>
      </c>
      <c r="AM43" s="10">
        <f t="shared" si="6"/>
        <v>0</v>
      </c>
      <c r="AN43" s="10">
        <f t="shared" si="7"/>
        <v>0</v>
      </c>
      <c r="AO43" s="10">
        <f t="shared" si="36"/>
        <v>0</v>
      </c>
      <c r="AP43" s="74"/>
      <c r="AQ43" s="4">
        <f>COUNTIF(Orders!$G$17:$G$36,B43)</f>
        <v>0</v>
      </c>
      <c r="AR43" s="10">
        <f t="shared" si="8"/>
        <v>0</v>
      </c>
      <c r="AS43" s="10">
        <f t="shared" si="9"/>
        <v>0</v>
      </c>
      <c r="AT43" s="10">
        <f t="shared" si="10"/>
        <v>0</v>
      </c>
      <c r="AU43" s="10">
        <f t="shared" si="11"/>
        <v>0</v>
      </c>
      <c r="AV43" s="10">
        <f t="shared" si="12"/>
        <v>0</v>
      </c>
      <c r="AW43" s="10">
        <f t="shared" si="13"/>
        <v>0</v>
      </c>
      <c r="AX43" s="10">
        <f t="shared" si="14"/>
        <v>0</v>
      </c>
      <c r="AY43" s="10">
        <f t="shared" si="37"/>
        <v>0</v>
      </c>
      <c r="AZ43" s="79"/>
      <c r="BA43" s="4">
        <f>COUNTIF(Orders!$M$17:$M$36,B43)</f>
        <v>0</v>
      </c>
      <c r="BB43" s="10">
        <f t="shared" si="15"/>
        <v>0</v>
      </c>
      <c r="BC43" s="10">
        <f t="shared" si="16"/>
        <v>0</v>
      </c>
      <c r="BD43" s="10">
        <f t="shared" si="17"/>
        <v>0</v>
      </c>
      <c r="BE43" s="10">
        <f t="shared" si="18"/>
        <v>0</v>
      </c>
      <c r="BF43" s="10">
        <f t="shared" si="19"/>
        <v>0</v>
      </c>
      <c r="BG43" s="10">
        <f t="shared" si="20"/>
        <v>0</v>
      </c>
      <c r="BH43" s="10">
        <f t="shared" si="38"/>
        <v>0</v>
      </c>
      <c r="BI43" s="10">
        <f t="shared" si="39"/>
        <v>0</v>
      </c>
      <c r="BJ43" s="79"/>
      <c r="BK43" s="4">
        <f>COUNTIF(Orders!$S$17:$S$36,B43)</f>
        <v>0</v>
      </c>
      <c r="BL43" s="10">
        <f t="shared" si="21"/>
        <v>0</v>
      </c>
      <c r="BM43" s="10">
        <f t="shared" si="22"/>
        <v>0</v>
      </c>
      <c r="BN43" s="10">
        <f t="shared" si="23"/>
        <v>0</v>
      </c>
      <c r="BO43" s="10">
        <f t="shared" si="24"/>
        <v>0</v>
      </c>
      <c r="BP43" s="10">
        <f t="shared" si="25"/>
        <v>0</v>
      </c>
      <c r="BQ43" s="10">
        <f t="shared" si="26"/>
        <v>0</v>
      </c>
      <c r="BR43" s="10">
        <f t="shared" si="40"/>
        <v>0</v>
      </c>
      <c r="BS43" s="10">
        <f t="shared" si="41"/>
        <v>0</v>
      </c>
    </row>
    <row r="44" spans="2:71" ht="12.75">
      <c r="B44" s="38">
        <f t="shared" si="42"/>
        <v>26</v>
      </c>
      <c r="C44" s="195"/>
      <c r="D44" s="311"/>
      <c r="E44" s="311"/>
      <c r="F44" s="311"/>
      <c r="G44" s="196"/>
      <c r="H44" s="195"/>
      <c r="I44" s="195"/>
      <c r="J44" s="195"/>
      <c r="K44" s="195"/>
      <c r="L44" s="195"/>
      <c r="M44" s="195"/>
      <c r="N44" s="197"/>
      <c r="O44" s="8">
        <f t="shared" si="27"/>
      </c>
      <c r="P44" s="195"/>
      <c r="Q44" s="195"/>
      <c r="R44" s="76">
        <f t="shared" si="0"/>
        <v>0</v>
      </c>
      <c r="S44" s="10">
        <f t="shared" si="28"/>
        <v>0</v>
      </c>
      <c r="T44" s="64" t="e">
        <f t="shared" si="1"/>
        <v>#N/A</v>
      </c>
      <c r="U44" s="64">
        <f t="shared" si="29"/>
        <v>0</v>
      </c>
      <c r="V44" s="195"/>
      <c r="W44" s="195"/>
      <c r="X44" s="195"/>
      <c r="Y44" s="195"/>
      <c r="Z44" s="195"/>
      <c r="AA44" s="215">
        <f t="shared" si="30"/>
      </c>
      <c r="AB44" s="4">
        <f t="shared" si="31"/>
        <v>0</v>
      </c>
      <c r="AC44" s="4">
        <f t="shared" si="32"/>
        <v>0</v>
      </c>
      <c r="AD44" s="4">
        <f t="shared" si="33"/>
        <v>0</v>
      </c>
      <c r="AE44" s="4">
        <f t="shared" si="34"/>
        <v>0</v>
      </c>
      <c r="AF44" s="79"/>
      <c r="AG44" s="10">
        <f>COUNTIF(Orders!$A$17:$A$36,B44)</f>
        <v>0</v>
      </c>
      <c r="AH44" s="10">
        <f t="shared" si="2"/>
        <v>0</v>
      </c>
      <c r="AI44" s="10">
        <f t="shared" si="3"/>
        <v>0</v>
      </c>
      <c r="AJ44" s="10">
        <f t="shared" si="4"/>
        <v>0</v>
      </c>
      <c r="AK44" s="10">
        <f t="shared" si="35"/>
        <v>0</v>
      </c>
      <c r="AL44" s="10">
        <f t="shared" si="5"/>
        <v>0</v>
      </c>
      <c r="AM44" s="10">
        <f t="shared" si="6"/>
        <v>0</v>
      </c>
      <c r="AN44" s="10">
        <f t="shared" si="7"/>
        <v>0</v>
      </c>
      <c r="AO44" s="10">
        <f t="shared" si="36"/>
        <v>0</v>
      </c>
      <c r="AP44" s="74"/>
      <c r="AQ44" s="4">
        <f>COUNTIF(Orders!$G$17:$G$36,B44)</f>
        <v>0</v>
      </c>
      <c r="AR44" s="10">
        <f t="shared" si="8"/>
        <v>0</v>
      </c>
      <c r="AS44" s="10">
        <f t="shared" si="9"/>
        <v>0</v>
      </c>
      <c r="AT44" s="10">
        <f t="shared" si="10"/>
        <v>0</v>
      </c>
      <c r="AU44" s="10">
        <f t="shared" si="11"/>
        <v>0</v>
      </c>
      <c r="AV44" s="10">
        <f t="shared" si="12"/>
        <v>0</v>
      </c>
      <c r="AW44" s="10">
        <f t="shared" si="13"/>
        <v>0</v>
      </c>
      <c r="AX44" s="10">
        <f t="shared" si="14"/>
        <v>0</v>
      </c>
      <c r="AY44" s="10">
        <f t="shared" si="37"/>
        <v>0</v>
      </c>
      <c r="AZ44" s="79"/>
      <c r="BA44" s="4">
        <f>COUNTIF(Orders!$M$17:$M$36,B44)</f>
        <v>0</v>
      </c>
      <c r="BB44" s="10">
        <f t="shared" si="15"/>
        <v>0</v>
      </c>
      <c r="BC44" s="10">
        <f t="shared" si="16"/>
        <v>0</v>
      </c>
      <c r="BD44" s="10">
        <f t="shared" si="17"/>
        <v>0</v>
      </c>
      <c r="BE44" s="10">
        <f t="shared" si="18"/>
        <v>0</v>
      </c>
      <c r="BF44" s="10">
        <f t="shared" si="19"/>
        <v>0</v>
      </c>
      <c r="BG44" s="10">
        <f t="shared" si="20"/>
        <v>0</v>
      </c>
      <c r="BH44" s="10">
        <f t="shared" si="38"/>
        <v>0</v>
      </c>
      <c r="BI44" s="10">
        <f t="shared" si="39"/>
        <v>0</v>
      </c>
      <c r="BJ44" s="79"/>
      <c r="BK44" s="4">
        <f>COUNTIF(Orders!$S$17:$S$36,B44)</f>
        <v>0</v>
      </c>
      <c r="BL44" s="10">
        <f t="shared" si="21"/>
        <v>0</v>
      </c>
      <c r="BM44" s="10">
        <f t="shared" si="22"/>
        <v>0</v>
      </c>
      <c r="BN44" s="10">
        <f t="shared" si="23"/>
        <v>0</v>
      </c>
      <c r="BO44" s="10">
        <f t="shared" si="24"/>
        <v>0</v>
      </c>
      <c r="BP44" s="10">
        <f t="shared" si="25"/>
        <v>0</v>
      </c>
      <c r="BQ44" s="10">
        <f t="shared" si="26"/>
        <v>0</v>
      </c>
      <c r="BR44" s="10">
        <f t="shared" si="40"/>
        <v>0</v>
      </c>
      <c r="BS44" s="10">
        <f t="shared" si="41"/>
        <v>0</v>
      </c>
    </row>
    <row r="45" spans="2:71" ht="12.75">
      <c r="B45" s="38">
        <f t="shared" si="42"/>
        <v>27</v>
      </c>
      <c r="C45" s="195"/>
      <c r="D45" s="311"/>
      <c r="E45" s="311"/>
      <c r="F45" s="311"/>
      <c r="G45" s="196"/>
      <c r="H45" s="195"/>
      <c r="I45" s="195"/>
      <c r="J45" s="195"/>
      <c r="K45" s="195"/>
      <c r="L45" s="195"/>
      <c r="M45" s="195"/>
      <c r="N45" s="197"/>
      <c r="O45" s="8">
        <f t="shared" si="27"/>
      </c>
      <c r="P45" s="195"/>
      <c r="Q45" s="195"/>
      <c r="R45" s="76">
        <f t="shared" si="0"/>
        <v>0</v>
      </c>
      <c r="S45" s="10">
        <f t="shared" si="28"/>
        <v>0</v>
      </c>
      <c r="T45" s="64" t="e">
        <f t="shared" si="1"/>
        <v>#N/A</v>
      </c>
      <c r="U45" s="64">
        <f t="shared" si="29"/>
        <v>0</v>
      </c>
      <c r="V45" s="195"/>
      <c r="W45" s="195"/>
      <c r="X45" s="195"/>
      <c r="Y45" s="195"/>
      <c r="Z45" s="195"/>
      <c r="AA45" s="215">
        <f t="shared" si="30"/>
      </c>
      <c r="AB45" s="4">
        <f t="shared" si="31"/>
        <v>0</v>
      </c>
      <c r="AC45" s="4">
        <f t="shared" si="32"/>
        <v>0</v>
      </c>
      <c r="AD45" s="4">
        <f t="shared" si="33"/>
        <v>0</v>
      </c>
      <c r="AE45" s="4">
        <f t="shared" si="34"/>
        <v>0</v>
      </c>
      <c r="AF45" s="79"/>
      <c r="AG45" s="10">
        <f>COUNTIF(Orders!$A$17:$A$36,B45)</f>
        <v>0</v>
      </c>
      <c r="AH45" s="10">
        <f t="shared" si="2"/>
        <v>0</v>
      </c>
      <c r="AI45" s="10">
        <f t="shared" si="3"/>
        <v>0</v>
      </c>
      <c r="AJ45" s="10">
        <f t="shared" si="4"/>
        <v>0</v>
      </c>
      <c r="AK45" s="10">
        <f t="shared" si="35"/>
        <v>0</v>
      </c>
      <c r="AL45" s="10">
        <f t="shared" si="5"/>
        <v>0</v>
      </c>
      <c r="AM45" s="10">
        <f t="shared" si="6"/>
        <v>0</v>
      </c>
      <c r="AN45" s="10">
        <f t="shared" si="7"/>
        <v>0</v>
      </c>
      <c r="AO45" s="10">
        <f t="shared" si="36"/>
        <v>0</v>
      </c>
      <c r="AP45" s="74"/>
      <c r="AQ45" s="4">
        <f>COUNTIF(Orders!$G$17:$G$36,B45)</f>
        <v>0</v>
      </c>
      <c r="AR45" s="10">
        <f t="shared" si="8"/>
        <v>0</v>
      </c>
      <c r="AS45" s="10">
        <f t="shared" si="9"/>
        <v>0</v>
      </c>
      <c r="AT45" s="10">
        <f t="shared" si="10"/>
        <v>0</v>
      </c>
      <c r="AU45" s="10">
        <f t="shared" si="11"/>
        <v>0</v>
      </c>
      <c r="AV45" s="10">
        <f t="shared" si="12"/>
        <v>0</v>
      </c>
      <c r="AW45" s="10">
        <f t="shared" si="13"/>
        <v>0</v>
      </c>
      <c r="AX45" s="10">
        <f t="shared" si="14"/>
        <v>0</v>
      </c>
      <c r="AY45" s="10">
        <f t="shared" si="37"/>
        <v>0</v>
      </c>
      <c r="AZ45" s="79"/>
      <c r="BA45" s="4">
        <f>COUNTIF(Orders!$M$17:$M$36,B45)</f>
        <v>0</v>
      </c>
      <c r="BB45" s="10">
        <f t="shared" si="15"/>
        <v>0</v>
      </c>
      <c r="BC45" s="10">
        <f t="shared" si="16"/>
        <v>0</v>
      </c>
      <c r="BD45" s="10">
        <f t="shared" si="17"/>
        <v>0</v>
      </c>
      <c r="BE45" s="10">
        <f t="shared" si="18"/>
        <v>0</v>
      </c>
      <c r="BF45" s="10">
        <f t="shared" si="19"/>
        <v>0</v>
      </c>
      <c r="BG45" s="10">
        <f t="shared" si="20"/>
        <v>0</v>
      </c>
      <c r="BH45" s="10">
        <f t="shared" si="38"/>
        <v>0</v>
      </c>
      <c r="BI45" s="10">
        <f t="shared" si="39"/>
        <v>0</v>
      </c>
      <c r="BJ45" s="79"/>
      <c r="BK45" s="4">
        <f>COUNTIF(Orders!$S$17:$S$36,B45)</f>
        <v>0</v>
      </c>
      <c r="BL45" s="10">
        <f t="shared" si="21"/>
        <v>0</v>
      </c>
      <c r="BM45" s="10">
        <f t="shared" si="22"/>
        <v>0</v>
      </c>
      <c r="BN45" s="10">
        <f t="shared" si="23"/>
        <v>0</v>
      </c>
      <c r="BO45" s="10">
        <f t="shared" si="24"/>
        <v>0</v>
      </c>
      <c r="BP45" s="10">
        <f t="shared" si="25"/>
        <v>0</v>
      </c>
      <c r="BQ45" s="10">
        <f t="shared" si="26"/>
        <v>0</v>
      </c>
      <c r="BR45" s="10">
        <f t="shared" si="40"/>
        <v>0</v>
      </c>
      <c r="BS45" s="10">
        <f t="shared" si="41"/>
        <v>0</v>
      </c>
    </row>
    <row r="46" spans="2:71" ht="12.75">
      <c r="B46" s="38">
        <f t="shared" si="42"/>
        <v>28</v>
      </c>
      <c r="C46" s="195"/>
      <c r="D46" s="311"/>
      <c r="E46" s="311"/>
      <c r="F46" s="311"/>
      <c r="G46" s="196"/>
      <c r="H46" s="195"/>
      <c r="I46" s="195"/>
      <c r="J46" s="195"/>
      <c r="K46" s="195"/>
      <c r="L46" s="195"/>
      <c r="M46" s="195"/>
      <c r="N46" s="197"/>
      <c r="O46" s="8">
        <f t="shared" si="27"/>
      </c>
      <c r="P46" s="195"/>
      <c r="Q46" s="195"/>
      <c r="R46" s="76">
        <f t="shared" si="0"/>
        <v>0</v>
      </c>
      <c r="S46" s="10">
        <f t="shared" si="28"/>
        <v>0</v>
      </c>
      <c r="T46" s="64" t="e">
        <f t="shared" si="1"/>
        <v>#N/A</v>
      </c>
      <c r="U46" s="64">
        <f t="shared" si="29"/>
        <v>0</v>
      </c>
      <c r="V46" s="195"/>
      <c r="W46" s="195"/>
      <c r="X46" s="195"/>
      <c r="Y46" s="195"/>
      <c r="Z46" s="195"/>
      <c r="AA46" s="215">
        <f t="shared" si="30"/>
      </c>
      <c r="AB46" s="4">
        <f t="shared" si="31"/>
        <v>0</v>
      </c>
      <c r="AC46" s="4">
        <f t="shared" si="32"/>
        <v>0</v>
      </c>
      <c r="AD46" s="4">
        <f t="shared" si="33"/>
        <v>0</v>
      </c>
      <c r="AE46" s="4">
        <f t="shared" si="34"/>
        <v>0</v>
      </c>
      <c r="AF46" s="79"/>
      <c r="AG46" s="10">
        <f>COUNTIF(Orders!$A$17:$A$36,B46)</f>
        <v>0</v>
      </c>
      <c r="AH46" s="10">
        <f t="shared" si="2"/>
        <v>0</v>
      </c>
      <c r="AI46" s="10">
        <f t="shared" si="3"/>
        <v>0</v>
      </c>
      <c r="AJ46" s="10">
        <f t="shared" si="4"/>
        <v>0</v>
      </c>
      <c r="AK46" s="10">
        <f t="shared" si="35"/>
        <v>0</v>
      </c>
      <c r="AL46" s="10">
        <f t="shared" si="5"/>
        <v>0</v>
      </c>
      <c r="AM46" s="10">
        <f t="shared" si="6"/>
        <v>0</v>
      </c>
      <c r="AN46" s="10">
        <f t="shared" si="7"/>
        <v>0</v>
      </c>
      <c r="AO46" s="10">
        <f t="shared" si="36"/>
        <v>0</v>
      </c>
      <c r="AP46" s="74"/>
      <c r="AQ46" s="4">
        <f>COUNTIF(Orders!$G$17:$G$36,B46)</f>
        <v>0</v>
      </c>
      <c r="AR46" s="10">
        <f t="shared" si="8"/>
        <v>0</v>
      </c>
      <c r="AS46" s="10">
        <f t="shared" si="9"/>
        <v>0</v>
      </c>
      <c r="AT46" s="10">
        <f t="shared" si="10"/>
        <v>0</v>
      </c>
      <c r="AU46" s="10">
        <f t="shared" si="11"/>
        <v>0</v>
      </c>
      <c r="AV46" s="10">
        <f t="shared" si="12"/>
        <v>0</v>
      </c>
      <c r="AW46" s="10">
        <f t="shared" si="13"/>
        <v>0</v>
      </c>
      <c r="AX46" s="10">
        <f t="shared" si="14"/>
        <v>0</v>
      </c>
      <c r="AY46" s="10">
        <f t="shared" si="37"/>
        <v>0</v>
      </c>
      <c r="AZ46" s="79"/>
      <c r="BA46" s="4">
        <f>COUNTIF(Orders!$M$17:$M$36,B46)</f>
        <v>0</v>
      </c>
      <c r="BB46" s="10">
        <f t="shared" si="15"/>
        <v>0</v>
      </c>
      <c r="BC46" s="10">
        <f t="shared" si="16"/>
        <v>0</v>
      </c>
      <c r="BD46" s="10">
        <f t="shared" si="17"/>
        <v>0</v>
      </c>
      <c r="BE46" s="10">
        <f t="shared" si="18"/>
        <v>0</v>
      </c>
      <c r="BF46" s="10">
        <f t="shared" si="19"/>
        <v>0</v>
      </c>
      <c r="BG46" s="10">
        <f t="shared" si="20"/>
        <v>0</v>
      </c>
      <c r="BH46" s="10">
        <f t="shared" si="38"/>
        <v>0</v>
      </c>
      <c r="BI46" s="10">
        <f t="shared" si="39"/>
        <v>0</v>
      </c>
      <c r="BJ46" s="79"/>
      <c r="BK46" s="4">
        <f>COUNTIF(Orders!$S$17:$S$36,B46)</f>
        <v>0</v>
      </c>
      <c r="BL46" s="10">
        <f t="shared" si="21"/>
        <v>0</v>
      </c>
      <c r="BM46" s="10">
        <f t="shared" si="22"/>
        <v>0</v>
      </c>
      <c r="BN46" s="10">
        <f t="shared" si="23"/>
        <v>0</v>
      </c>
      <c r="BO46" s="10">
        <f t="shared" si="24"/>
        <v>0</v>
      </c>
      <c r="BP46" s="10">
        <f t="shared" si="25"/>
        <v>0</v>
      </c>
      <c r="BQ46" s="10">
        <f t="shared" si="26"/>
        <v>0</v>
      </c>
      <c r="BR46" s="10">
        <f t="shared" si="40"/>
        <v>0</v>
      </c>
      <c r="BS46" s="10">
        <f t="shared" si="41"/>
        <v>0</v>
      </c>
    </row>
    <row r="47" spans="2:71" ht="12.75">
      <c r="B47" s="38">
        <f t="shared" si="42"/>
        <v>29</v>
      </c>
      <c r="C47" s="195"/>
      <c r="D47" s="311"/>
      <c r="E47" s="311"/>
      <c r="F47" s="311"/>
      <c r="G47" s="196"/>
      <c r="H47" s="195"/>
      <c r="I47" s="195"/>
      <c r="J47" s="195"/>
      <c r="K47" s="195"/>
      <c r="L47" s="195"/>
      <c r="M47" s="195"/>
      <c r="N47" s="197"/>
      <c r="O47" s="8">
        <f t="shared" si="27"/>
      </c>
      <c r="P47" s="195"/>
      <c r="Q47" s="195"/>
      <c r="R47" s="76">
        <f t="shared" si="0"/>
        <v>0</v>
      </c>
      <c r="S47" s="10">
        <f t="shared" si="28"/>
        <v>0</v>
      </c>
      <c r="T47" s="64" t="e">
        <f t="shared" si="1"/>
        <v>#N/A</v>
      </c>
      <c r="U47" s="64">
        <f t="shared" si="29"/>
        <v>0</v>
      </c>
      <c r="V47" s="195"/>
      <c r="W47" s="195"/>
      <c r="X47" s="195"/>
      <c r="Y47" s="195"/>
      <c r="Z47" s="195"/>
      <c r="AA47" s="215">
        <f t="shared" si="30"/>
      </c>
      <c r="AB47" s="4">
        <f t="shared" si="31"/>
        <v>0</v>
      </c>
      <c r="AC47" s="4">
        <f t="shared" si="32"/>
        <v>0</v>
      </c>
      <c r="AD47" s="4">
        <f t="shared" si="33"/>
        <v>0</v>
      </c>
      <c r="AE47" s="4">
        <f t="shared" si="34"/>
        <v>0</v>
      </c>
      <c r="AF47" s="79"/>
      <c r="AG47" s="10">
        <f>COUNTIF(Orders!$A$17:$A$36,B47)</f>
        <v>0</v>
      </c>
      <c r="AH47" s="10">
        <f t="shared" si="2"/>
        <v>0</v>
      </c>
      <c r="AI47" s="10">
        <f t="shared" si="3"/>
        <v>0</v>
      </c>
      <c r="AJ47" s="10">
        <f t="shared" si="4"/>
        <v>0</v>
      </c>
      <c r="AK47" s="10">
        <f t="shared" si="35"/>
        <v>0</v>
      </c>
      <c r="AL47" s="10">
        <f t="shared" si="5"/>
        <v>0</v>
      </c>
      <c r="AM47" s="10">
        <f t="shared" si="6"/>
        <v>0</v>
      </c>
      <c r="AN47" s="10">
        <f t="shared" si="7"/>
        <v>0</v>
      </c>
      <c r="AO47" s="10">
        <f t="shared" si="36"/>
        <v>0</v>
      </c>
      <c r="AP47" s="74"/>
      <c r="AQ47" s="4">
        <f>COUNTIF(Orders!$G$17:$G$36,B47)</f>
        <v>0</v>
      </c>
      <c r="AR47" s="10">
        <f t="shared" si="8"/>
        <v>0</v>
      </c>
      <c r="AS47" s="10">
        <f t="shared" si="9"/>
        <v>0</v>
      </c>
      <c r="AT47" s="10">
        <f t="shared" si="10"/>
        <v>0</v>
      </c>
      <c r="AU47" s="10">
        <f t="shared" si="11"/>
        <v>0</v>
      </c>
      <c r="AV47" s="10">
        <f t="shared" si="12"/>
        <v>0</v>
      </c>
      <c r="AW47" s="10">
        <f t="shared" si="13"/>
        <v>0</v>
      </c>
      <c r="AX47" s="10">
        <f t="shared" si="14"/>
        <v>0</v>
      </c>
      <c r="AY47" s="10">
        <f t="shared" si="37"/>
        <v>0</v>
      </c>
      <c r="AZ47" s="79"/>
      <c r="BA47" s="4">
        <f>COUNTIF(Orders!$M$17:$M$36,B47)</f>
        <v>0</v>
      </c>
      <c r="BB47" s="10">
        <f t="shared" si="15"/>
        <v>0</v>
      </c>
      <c r="BC47" s="10">
        <f t="shared" si="16"/>
        <v>0</v>
      </c>
      <c r="BD47" s="10">
        <f t="shared" si="17"/>
        <v>0</v>
      </c>
      <c r="BE47" s="10">
        <f t="shared" si="18"/>
        <v>0</v>
      </c>
      <c r="BF47" s="10">
        <f t="shared" si="19"/>
        <v>0</v>
      </c>
      <c r="BG47" s="10">
        <f t="shared" si="20"/>
        <v>0</v>
      </c>
      <c r="BH47" s="10">
        <f t="shared" si="38"/>
        <v>0</v>
      </c>
      <c r="BI47" s="10">
        <f t="shared" si="39"/>
        <v>0</v>
      </c>
      <c r="BJ47" s="79"/>
      <c r="BK47" s="4">
        <f>COUNTIF(Orders!$S$17:$S$36,B47)</f>
        <v>0</v>
      </c>
      <c r="BL47" s="10">
        <f t="shared" si="21"/>
        <v>0</v>
      </c>
      <c r="BM47" s="10">
        <f t="shared" si="22"/>
        <v>0</v>
      </c>
      <c r="BN47" s="10">
        <f t="shared" si="23"/>
        <v>0</v>
      </c>
      <c r="BO47" s="10">
        <f t="shared" si="24"/>
        <v>0</v>
      </c>
      <c r="BP47" s="10">
        <f t="shared" si="25"/>
        <v>0</v>
      </c>
      <c r="BQ47" s="10">
        <f t="shared" si="26"/>
        <v>0</v>
      </c>
      <c r="BR47" s="10">
        <f t="shared" si="40"/>
        <v>0</v>
      </c>
      <c r="BS47" s="10">
        <f t="shared" si="41"/>
        <v>0</v>
      </c>
    </row>
    <row r="48" spans="2:71" ht="12.75">
      <c r="B48" s="38">
        <f t="shared" si="42"/>
        <v>30</v>
      </c>
      <c r="C48" s="195"/>
      <c r="D48" s="311"/>
      <c r="E48" s="311"/>
      <c r="F48" s="311"/>
      <c r="G48" s="196"/>
      <c r="H48" s="195"/>
      <c r="I48" s="195"/>
      <c r="J48" s="195"/>
      <c r="K48" s="195"/>
      <c r="L48" s="195"/>
      <c r="M48" s="195"/>
      <c r="N48" s="197"/>
      <c r="O48" s="8">
        <f t="shared" si="27"/>
      </c>
      <c r="P48" s="195"/>
      <c r="Q48" s="195"/>
      <c r="R48" s="76">
        <f t="shared" si="0"/>
        <v>0</v>
      </c>
      <c r="S48" s="10">
        <f t="shared" si="28"/>
        <v>0</v>
      </c>
      <c r="T48" s="64" t="e">
        <f t="shared" si="1"/>
        <v>#N/A</v>
      </c>
      <c r="U48" s="64">
        <f t="shared" si="29"/>
        <v>0</v>
      </c>
      <c r="V48" s="195"/>
      <c r="W48" s="195"/>
      <c r="X48" s="195"/>
      <c r="Y48" s="195"/>
      <c r="Z48" s="195"/>
      <c r="AA48" s="215">
        <f t="shared" si="30"/>
      </c>
      <c r="AB48" s="4">
        <f t="shared" si="31"/>
        <v>0</v>
      </c>
      <c r="AC48" s="4">
        <f t="shared" si="32"/>
        <v>0</v>
      </c>
      <c r="AD48" s="4">
        <f t="shared" si="33"/>
        <v>0</v>
      </c>
      <c r="AE48" s="4">
        <f t="shared" si="34"/>
        <v>0</v>
      </c>
      <c r="AF48" s="79"/>
      <c r="AG48" s="10">
        <f>COUNTIF(Orders!$A$17:$A$36,B48)</f>
        <v>0</v>
      </c>
      <c r="AH48" s="10">
        <f t="shared" si="2"/>
        <v>0</v>
      </c>
      <c r="AI48" s="10">
        <f t="shared" si="3"/>
        <v>0</v>
      </c>
      <c r="AJ48" s="10">
        <f t="shared" si="4"/>
        <v>0</v>
      </c>
      <c r="AK48" s="10">
        <f t="shared" si="35"/>
        <v>0</v>
      </c>
      <c r="AL48" s="10">
        <f t="shared" si="5"/>
        <v>0</v>
      </c>
      <c r="AM48" s="10">
        <f t="shared" si="6"/>
        <v>0</v>
      </c>
      <c r="AN48" s="10">
        <f t="shared" si="7"/>
        <v>0</v>
      </c>
      <c r="AO48" s="10">
        <f t="shared" si="36"/>
        <v>0</v>
      </c>
      <c r="AP48" s="74"/>
      <c r="AQ48" s="4">
        <f>COUNTIF(Orders!$G$17:$G$36,B48)</f>
        <v>0</v>
      </c>
      <c r="AR48" s="10">
        <f t="shared" si="8"/>
        <v>0</v>
      </c>
      <c r="AS48" s="10">
        <f t="shared" si="9"/>
        <v>0</v>
      </c>
      <c r="AT48" s="10">
        <f t="shared" si="10"/>
        <v>0</v>
      </c>
      <c r="AU48" s="10">
        <f t="shared" si="11"/>
        <v>0</v>
      </c>
      <c r="AV48" s="10">
        <f t="shared" si="12"/>
        <v>0</v>
      </c>
      <c r="AW48" s="10">
        <f t="shared" si="13"/>
        <v>0</v>
      </c>
      <c r="AX48" s="10">
        <f t="shared" si="14"/>
        <v>0</v>
      </c>
      <c r="AY48" s="10">
        <f t="shared" si="37"/>
        <v>0</v>
      </c>
      <c r="AZ48" s="79"/>
      <c r="BA48" s="4">
        <f>COUNTIF(Orders!$M$17:$M$36,B48)</f>
        <v>0</v>
      </c>
      <c r="BB48" s="10">
        <f t="shared" si="15"/>
        <v>0</v>
      </c>
      <c r="BC48" s="10">
        <f t="shared" si="16"/>
        <v>0</v>
      </c>
      <c r="BD48" s="10">
        <f t="shared" si="17"/>
        <v>0</v>
      </c>
      <c r="BE48" s="10">
        <f t="shared" si="18"/>
        <v>0</v>
      </c>
      <c r="BF48" s="10">
        <f t="shared" si="19"/>
        <v>0</v>
      </c>
      <c r="BG48" s="10">
        <f t="shared" si="20"/>
        <v>0</v>
      </c>
      <c r="BH48" s="10">
        <f t="shared" si="38"/>
        <v>0</v>
      </c>
      <c r="BI48" s="10">
        <f t="shared" si="39"/>
        <v>0</v>
      </c>
      <c r="BJ48" s="79"/>
      <c r="BK48" s="4">
        <f>COUNTIF(Orders!$S$17:$S$36,B48)</f>
        <v>0</v>
      </c>
      <c r="BL48" s="10">
        <f t="shared" si="21"/>
        <v>0</v>
      </c>
      <c r="BM48" s="10">
        <f t="shared" si="22"/>
        <v>0</v>
      </c>
      <c r="BN48" s="10">
        <f t="shared" si="23"/>
        <v>0</v>
      </c>
      <c r="BO48" s="10">
        <f t="shared" si="24"/>
        <v>0</v>
      </c>
      <c r="BP48" s="10">
        <f t="shared" si="25"/>
        <v>0</v>
      </c>
      <c r="BQ48" s="10">
        <f t="shared" si="26"/>
        <v>0</v>
      </c>
      <c r="BR48" s="10">
        <f t="shared" si="40"/>
        <v>0</v>
      </c>
      <c r="BS48" s="10">
        <f t="shared" si="41"/>
        <v>0</v>
      </c>
    </row>
    <row r="49" spans="2:71" ht="12.75">
      <c r="B49" s="38">
        <f t="shared" si="42"/>
        <v>31</v>
      </c>
      <c r="C49" s="195"/>
      <c r="D49" s="311"/>
      <c r="E49" s="311"/>
      <c r="F49" s="311"/>
      <c r="G49" s="196"/>
      <c r="H49" s="195"/>
      <c r="I49" s="195"/>
      <c r="J49" s="195"/>
      <c r="K49" s="195"/>
      <c r="L49" s="195"/>
      <c r="M49" s="195"/>
      <c r="N49" s="197"/>
      <c r="O49" s="8">
        <f t="shared" si="27"/>
      </c>
      <c r="P49" s="195"/>
      <c r="Q49" s="195"/>
      <c r="R49" s="76">
        <f t="shared" si="0"/>
        <v>0</v>
      </c>
      <c r="S49" s="10">
        <f t="shared" si="28"/>
        <v>0</v>
      </c>
      <c r="T49" s="64" t="e">
        <f t="shared" si="1"/>
        <v>#N/A</v>
      </c>
      <c r="U49" s="64">
        <f t="shared" si="29"/>
        <v>0</v>
      </c>
      <c r="V49" s="195"/>
      <c r="W49" s="195"/>
      <c r="X49" s="195"/>
      <c r="Y49" s="195"/>
      <c r="Z49" s="195"/>
      <c r="AA49" s="215">
        <f t="shared" si="30"/>
      </c>
      <c r="AB49" s="4">
        <f t="shared" si="31"/>
        <v>0</v>
      </c>
      <c r="AC49" s="4">
        <f t="shared" si="32"/>
        <v>0</v>
      </c>
      <c r="AD49" s="4">
        <f t="shared" si="33"/>
        <v>0</v>
      </c>
      <c r="AE49" s="4">
        <f t="shared" si="34"/>
        <v>0</v>
      </c>
      <c r="AF49" s="79"/>
      <c r="AG49" s="10">
        <f>COUNTIF(Orders!$A$17:$A$36,B49)</f>
        <v>0</v>
      </c>
      <c r="AH49" s="10">
        <f t="shared" si="2"/>
        <v>0</v>
      </c>
      <c r="AI49" s="10">
        <f t="shared" si="3"/>
        <v>0</v>
      </c>
      <c r="AJ49" s="10">
        <f t="shared" si="4"/>
        <v>0</v>
      </c>
      <c r="AK49" s="10">
        <f t="shared" si="35"/>
        <v>0</v>
      </c>
      <c r="AL49" s="10">
        <f t="shared" si="5"/>
        <v>0</v>
      </c>
      <c r="AM49" s="10">
        <f t="shared" si="6"/>
        <v>0</v>
      </c>
      <c r="AN49" s="10">
        <f t="shared" si="7"/>
        <v>0</v>
      </c>
      <c r="AO49" s="10">
        <f t="shared" si="36"/>
        <v>0</v>
      </c>
      <c r="AP49" s="74"/>
      <c r="AQ49" s="4">
        <f>COUNTIF(Orders!$G$17:$G$36,B49)</f>
        <v>0</v>
      </c>
      <c r="AR49" s="10">
        <f t="shared" si="8"/>
        <v>0</v>
      </c>
      <c r="AS49" s="10">
        <f t="shared" si="9"/>
        <v>0</v>
      </c>
      <c r="AT49" s="10">
        <f t="shared" si="10"/>
        <v>0</v>
      </c>
      <c r="AU49" s="10">
        <f t="shared" si="11"/>
        <v>0</v>
      </c>
      <c r="AV49" s="10">
        <f t="shared" si="12"/>
        <v>0</v>
      </c>
      <c r="AW49" s="10">
        <f t="shared" si="13"/>
        <v>0</v>
      </c>
      <c r="AX49" s="10">
        <f t="shared" si="14"/>
        <v>0</v>
      </c>
      <c r="AY49" s="10">
        <f t="shared" si="37"/>
        <v>0</v>
      </c>
      <c r="AZ49" s="79"/>
      <c r="BA49" s="4">
        <f>COUNTIF(Orders!$M$17:$M$36,B49)</f>
        <v>0</v>
      </c>
      <c r="BB49" s="10">
        <f t="shared" si="15"/>
        <v>0</v>
      </c>
      <c r="BC49" s="10">
        <f t="shared" si="16"/>
        <v>0</v>
      </c>
      <c r="BD49" s="10">
        <f t="shared" si="17"/>
        <v>0</v>
      </c>
      <c r="BE49" s="10">
        <f t="shared" si="18"/>
        <v>0</v>
      </c>
      <c r="BF49" s="10">
        <f t="shared" si="19"/>
        <v>0</v>
      </c>
      <c r="BG49" s="10">
        <f t="shared" si="20"/>
        <v>0</v>
      </c>
      <c r="BH49" s="10">
        <f t="shared" si="38"/>
        <v>0</v>
      </c>
      <c r="BI49" s="10">
        <f t="shared" si="39"/>
        <v>0</v>
      </c>
      <c r="BJ49" s="79"/>
      <c r="BK49" s="4">
        <f>COUNTIF(Orders!$S$17:$S$36,B49)</f>
        <v>0</v>
      </c>
      <c r="BL49" s="10">
        <f t="shared" si="21"/>
        <v>0</v>
      </c>
      <c r="BM49" s="10">
        <f t="shared" si="22"/>
        <v>0</v>
      </c>
      <c r="BN49" s="10">
        <f t="shared" si="23"/>
        <v>0</v>
      </c>
      <c r="BO49" s="10">
        <f t="shared" si="24"/>
        <v>0</v>
      </c>
      <c r="BP49" s="10">
        <f t="shared" si="25"/>
        <v>0</v>
      </c>
      <c r="BQ49" s="10">
        <f t="shared" si="26"/>
        <v>0</v>
      </c>
      <c r="BR49" s="10">
        <f t="shared" si="40"/>
        <v>0</v>
      </c>
      <c r="BS49" s="10">
        <f t="shared" si="41"/>
        <v>0</v>
      </c>
    </row>
    <row r="50" spans="2:71" ht="12.75">
      <c r="B50" s="38">
        <f t="shared" si="42"/>
        <v>32</v>
      </c>
      <c r="C50" s="195"/>
      <c r="D50" s="311"/>
      <c r="E50" s="311"/>
      <c r="F50" s="311"/>
      <c r="G50" s="196"/>
      <c r="H50" s="195"/>
      <c r="I50" s="195"/>
      <c r="J50" s="195"/>
      <c r="K50" s="195"/>
      <c r="L50" s="195"/>
      <c r="M50" s="195"/>
      <c r="N50" s="197"/>
      <c r="O50" s="8">
        <f t="shared" si="27"/>
      </c>
      <c r="P50" s="195"/>
      <c r="Q50" s="195"/>
      <c r="R50" s="76">
        <f t="shared" si="0"/>
        <v>0</v>
      </c>
      <c r="S50" s="10">
        <f t="shared" si="28"/>
        <v>0</v>
      </c>
      <c r="T50" s="64" t="e">
        <f t="shared" si="1"/>
        <v>#N/A</v>
      </c>
      <c r="U50" s="64">
        <f t="shared" si="29"/>
        <v>0</v>
      </c>
      <c r="V50" s="195"/>
      <c r="W50" s="195"/>
      <c r="X50" s="195"/>
      <c r="Y50" s="195"/>
      <c r="Z50" s="195"/>
      <c r="AA50" s="215">
        <f t="shared" si="30"/>
      </c>
      <c r="AB50" s="4">
        <f t="shared" si="31"/>
        <v>0</v>
      </c>
      <c r="AC50" s="4">
        <f t="shared" si="32"/>
        <v>0</v>
      </c>
      <c r="AD50" s="4">
        <f t="shared" si="33"/>
        <v>0</v>
      </c>
      <c r="AE50" s="4">
        <f t="shared" si="34"/>
        <v>0</v>
      </c>
      <c r="AF50" s="79"/>
      <c r="AG50" s="10">
        <f>COUNTIF(Orders!$A$17:$A$36,B50)</f>
        <v>0</v>
      </c>
      <c r="AH50" s="10">
        <f t="shared" si="2"/>
        <v>0</v>
      </c>
      <c r="AI50" s="10">
        <f t="shared" si="3"/>
        <v>0</v>
      </c>
      <c r="AJ50" s="10">
        <f t="shared" si="4"/>
        <v>0</v>
      </c>
      <c r="AK50" s="10">
        <f t="shared" si="35"/>
        <v>0</v>
      </c>
      <c r="AL50" s="10">
        <f t="shared" si="5"/>
        <v>0</v>
      </c>
      <c r="AM50" s="10">
        <f t="shared" si="6"/>
        <v>0</v>
      </c>
      <c r="AN50" s="10">
        <f t="shared" si="7"/>
        <v>0</v>
      </c>
      <c r="AO50" s="10">
        <f t="shared" si="36"/>
        <v>0</v>
      </c>
      <c r="AP50" s="74"/>
      <c r="AQ50" s="4">
        <f>COUNTIF(Orders!$G$17:$G$36,B50)</f>
        <v>0</v>
      </c>
      <c r="AR50" s="10">
        <f t="shared" si="8"/>
        <v>0</v>
      </c>
      <c r="AS50" s="10">
        <f t="shared" si="9"/>
        <v>0</v>
      </c>
      <c r="AT50" s="10">
        <f t="shared" si="10"/>
        <v>0</v>
      </c>
      <c r="AU50" s="10">
        <f t="shared" si="11"/>
        <v>0</v>
      </c>
      <c r="AV50" s="10">
        <f t="shared" si="12"/>
        <v>0</v>
      </c>
      <c r="AW50" s="10">
        <f t="shared" si="13"/>
        <v>0</v>
      </c>
      <c r="AX50" s="10">
        <f t="shared" si="14"/>
        <v>0</v>
      </c>
      <c r="AY50" s="10">
        <f t="shared" si="37"/>
        <v>0</v>
      </c>
      <c r="AZ50" s="79"/>
      <c r="BA50" s="4">
        <f>COUNTIF(Orders!$M$17:$M$36,B50)</f>
        <v>0</v>
      </c>
      <c r="BB50" s="10">
        <f t="shared" si="15"/>
        <v>0</v>
      </c>
      <c r="BC50" s="10">
        <f t="shared" si="16"/>
        <v>0</v>
      </c>
      <c r="BD50" s="10">
        <f t="shared" si="17"/>
        <v>0</v>
      </c>
      <c r="BE50" s="10">
        <f t="shared" si="18"/>
        <v>0</v>
      </c>
      <c r="BF50" s="10">
        <f t="shared" si="19"/>
        <v>0</v>
      </c>
      <c r="BG50" s="10">
        <f t="shared" si="20"/>
        <v>0</v>
      </c>
      <c r="BH50" s="10">
        <f t="shared" si="38"/>
        <v>0</v>
      </c>
      <c r="BI50" s="10">
        <f t="shared" si="39"/>
        <v>0</v>
      </c>
      <c r="BJ50" s="79"/>
      <c r="BK50" s="4">
        <f>COUNTIF(Orders!$S$17:$S$36,B50)</f>
        <v>0</v>
      </c>
      <c r="BL50" s="10">
        <f t="shared" si="21"/>
        <v>0</v>
      </c>
      <c r="BM50" s="10">
        <f t="shared" si="22"/>
        <v>0</v>
      </c>
      <c r="BN50" s="10">
        <f t="shared" si="23"/>
        <v>0</v>
      </c>
      <c r="BO50" s="10">
        <f t="shared" si="24"/>
        <v>0</v>
      </c>
      <c r="BP50" s="10">
        <f t="shared" si="25"/>
        <v>0</v>
      </c>
      <c r="BQ50" s="10">
        <f t="shared" si="26"/>
        <v>0</v>
      </c>
      <c r="BR50" s="10">
        <f t="shared" si="40"/>
        <v>0</v>
      </c>
      <c r="BS50" s="10">
        <f t="shared" si="41"/>
        <v>0</v>
      </c>
    </row>
    <row r="51" spans="2:71" ht="12.75">
      <c r="B51" s="38">
        <f t="shared" si="42"/>
        <v>33</v>
      </c>
      <c r="C51" s="195"/>
      <c r="D51" s="311"/>
      <c r="E51" s="311"/>
      <c r="F51" s="311"/>
      <c r="G51" s="196"/>
      <c r="H51" s="195"/>
      <c r="I51" s="195"/>
      <c r="J51" s="195"/>
      <c r="K51" s="195"/>
      <c r="L51" s="195"/>
      <c r="M51" s="195"/>
      <c r="N51" s="197"/>
      <c r="O51" s="8">
        <f t="shared" si="27"/>
      </c>
      <c r="P51" s="195"/>
      <c r="Q51" s="195"/>
      <c r="R51" s="76">
        <f t="shared" si="0"/>
        <v>0</v>
      </c>
      <c r="S51" s="10">
        <f t="shared" si="28"/>
        <v>0</v>
      </c>
      <c r="T51" s="64" t="e">
        <f t="shared" si="1"/>
        <v>#N/A</v>
      </c>
      <c r="U51" s="64">
        <f t="shared" si="29"/>
        <v>0</v>
      </c>
      <c r="V51" s="195"/>
      <c r="W51" s="195"/>
      <c r="X51" s="195"/>
      <c r="Y51" s="195"/>
      <c r="Z51" s="195"/>
      <c r="AA51" s="215">
        <f t="shared" si="30"/>
      </c>
      <c r="AB51" s="4">
        <f t="shared" si="31"/>
        <v>0</v>
      </c>
      <c r="AC51" s="4">
        <f t="shared" si="32"/>
        <v>0</v>
      </c>
      <c r="AD51" s="4">
        <f t="shared" si="33"/>
        <v>0</v>
      </c>
      <c r="AE51" s="4">
        <f t="shared" si="34"/>
        <v>0</v>
      </c>
      <c r="AF51" s="79"/>
      <c r="AG51" s="10">
        <f>COUNTIF(Orders!$A$17:$A$36,B51)</f>
        <v>0</v>
      </c>
      <c r="AH51" s="10">
        <f t="shared" si="2"/>
        <v>0</v>
      </c>
      <c r="AI51" s="10">
        <f t="shared" si="3"/>
        <v>0</v>
      </c>
      <c r="AJ51" s="10">
        <f t="shared" si="4"/>
        <v>0</v>
      </c>
      <c r="AK51" s="10">
        <f t="shared" si="35"/>
        <v>0</v>
      </c>
      <c r="AL51" s="10">
        <f t="shared" si="5"/>
        <v>0</v>
      </c>
      <c r="AM51" s="10">
        <f t="shared" si="6"/>
        <v>0</v>
      </c>
      <c r="AN51" s="10">
        <f t="shared" si="7"/>
        <v>0</v>
      </c>
      <c r="AO51" s="10">
        <f t="shared" si="36"/>
        <v>0</v>
      </c>
      <c r="AP51" s="74"/>
      <c r="AQ51" s="4">
        <f>COUNTIF(Orders!$G$17:$G$36,B51)</f>
        <v>0</v>
      </c>
      <c r="AR51" s="10">
        <f t="shared" si="8"/>
        <v>0</v>
      </c>
      <c r="AS51" s="10">
        <f t="shared" si="9"/>
        <v>0</v>
      </c>
      <c r="AT51" s="10">
        <f t="shared" si="10"/>
        <v>0</v>
      </c>
      <c r="AU51" s="10">
        <f t="shared" si="11"/>
        <v>0</v>
      </c>
      <c r="AV51" s="10">
        <f t="shared" si="12"/>
        <v>0</v>
      </c>
      <c r="AW51" s="10">
        <f t="shared" si="13"/>
        <v>0</v>
      </c>
      <c r="AX51" s="10">
        <f t="shared" si="14"/>
        <v>0</v>
      </c>
      <c r="AY51" s="10">
        <f t="shared" si="37"/>
        <v>0</v>
      </c>
      <c r="AZ51" s="79"/>
      <c r="BA51" s="4">
        <f>COUNTIF(Orders!$M$17:$M$36,B51)</f>
        <v>0</v>
      </c>
      <c r="BB51" s="10">
        <f t="shared" si="15"/>
        <v>0</v>
      </c>
      <c r="BC51" s="10">
        <f t="shared" si="16"/>
        <v>0</v>
      </c>
      <c r="BD51" s="10">
        <f t="shared" si="17"/>
        <v>0</v>
      </c>
      <c r="BE51" s="10">
        <f t="shared" si="18"/>
        <v>0</v>
      </c>
      <c r="BF51" s="10">
        <f t="shared" si="19"/>
        <v>0</v>
      </c>
      <c r="BG51" s="10">
        <f t="shared" si="20"/>
        <v>0</v>
      </c>
      <c r="BH51" s="10">
        <f t="shared" si="38"/>
        <v>0</v>
      </c>
      <c r="BI51" s="10">
        <f t="shared" si="39"/>
        <v>0</v>
      </c>
      <c r="BJ51" s="79"/>
      <c r="BK51" s="4">
        <f>COUNTIF(Orders!$S$17:$S$36,B51)</f>
        <v>0</v>
      </c>
      <c r="BL51" s="10">
        <f t="shared" si="21"/>
        <v>0</v>
      </c>
      <c r="BM51" s="10">
        <f t="shared" si="22"/>
        <v>0</v>
      </c>
      <c r="BN51" s="10">
        <f t="shared" si="23"/>
        <v>0</v>
      </c>
      <c r="BO51" s="10">
        <f t="shared" si="24"/>
        <v>0</v>
      </c>
      <c r="BP51" s="10">
        <f t="shared" si="25"/>
        <v>0</v>
      </c>
      <c r="BQ51" s="10">
        <f t="shared" si="26"/>
        <v>0</v>
      </c>
      <c r="BR51" s="10">
        <f t="shared" si="40"/>
        <v>0</v>
      </c>
      <c r="BS51" s="10">
        <f t="shared" si="41"/>
        <v>0</v>
      </c>
    </row>
    <row r="52" spans="2:71" ht="12.75">
      <c r="B52" s="38">
        <f t="shared" si="42"/>
        <v>34</v>
      </c>
      <c r="C52" s="195"/>
      <c r="D52" s="311"/>
      <c r="E52" s="311"/>
      <c r="F52" s="311"/>
      <c r="G52" s="196"/>
      <c r="H52" s="195"/>
      <c r="I52" s="195"/>
      <c r="J52" s="195"/>
      <c r="K52" s="195"/>
      <c r="L52" s="195"/>
      <c r="M52" s="195"/>
      <c r="N52" s="197"/>
      <c r="O52" s="8">
        <f t="shared" si="27"/>
      </c>
      <c r="P52" s="195"/>
      <c r="Q52" s="195"/>
      <c r="R52" s="76">
        <f t="shared" si="0"/>
        <v>0</v>
      </c>
      <c r="S52" s="10">
        <f t="shared" si="28"/>
        <v>0</v>
      </c>
      <c r="T52" s="64" t="e">
        <f t="shared" si="1"/>
        <v>#N/A</v>
      </c>
      <c r="U52" s="64">
        <f t="shared" si="29"/>
        <v>0</v>
      </c>
      <c r="V52" s="195"/>
      <c r="W52" s="195"/>
      <c r="X52" s="195"/>
      <c r="Y52" s="195"/>
      <c r="Z52" s="195"/>
      <c r="AA52" s="215">
        <f t="shared" si="30"/>
      </c>
      <c r="AB52" s="4">
        <f t="shared" si="31"/>
        <v>0</v>
      </c>
      <c r="AC52" s="4">
        <f t="shared" si="32"/>
        <v>0</v>
      </c>
      <c r="AD52" s="4">
        <f t="shared" si="33"/>
        <v>0</v>
      </c>
      <c r="AE52" s="4">
        <f t="shared" si="34"/>
        <v>0</v>
      </c>
      <c r="AF52" s="79"/>
      <c r="AG52" s="10">
        <f>COUNTIF(Orders!$A$17:$A$36,B52)</f>
        <v>0</v>
      </c>
      <c r="AH52" s="10">
        <f t="shared" si="2"/>
        <v>0</v>
      </c>
      <c r="AI52" s="10">
        <f t="shared" si="3"/>
        <v>0</v>
      </c>
      <c r="AJ52" s="10">
        <f t="shared" si="4"/>
        <v>0</v>
      </c>
      <c r="AK52" s="10">
        <f t="shared" si="35"/>
        <v>0</v>
      </c>
      <c r="AL52" s="10">
        <f t="shared" si="5"/>
        <v>0</v>
      </c>
      <c r="AM52" s="10">
        <f t="shared" si="6"/>
        <v>0</v>
      </c>
      <c r="AN52" s="10">
        <f t="shared" si="7"/>
        <v>0</v>
      </c>
      <c r="AO52" s="10">
        <f t="shared" si="36"/>
        <v>0</v>
      </c>
      <c r="AP52" s="74"/>
      <c r="AQ52" s="4">
        <f>COUNTIF(Orders!$G$17:$G$36,B52)</f>
        <v>0</v>
      </c>
      <c r="AR52" s="10">
        <f t="shared" si="8"/>
        <v>0</v>
      </c>
      <c r="AS52" s="10">
        <f t="shared" si="9"/>
        <v>0</v>
      </c>
      <c r="AT52" s="10">
        <f t="shared" si="10"/>
        <v>0</v>
      </c>
      <c r="AU52" s="10">
        <f t="shared" si="11"/>
        <v>0</v>
      </c>
      <c r="AV52" s="10">
        <f t="shared" si="12"/>
        <v>0</v>
      </c>
      <c r="AW52" s="10">
        <f t="shared" si="13"/>
        <v>0</v>
      </c>
      <c r="AX52" s="10">
        <f t="shared" si="14"/>
        <v>0</v>
      </c>
      <c r="AY52" s="10">
        <f t="shared" si="37"/>
        <v>0</v>
      </c>
      <c r="AZ52" s="79"/>
      <c r="BA52" s="4">
        <f>COUNTIF(Orders!$M$17:$M$36,B52)</f>
        <v>0</v>
      </c>
      <c r="BB52" s="10">
        <f t="shared" si="15"/>
        <v>0</v>
      </c>
      <c r="BC52" s="10">
        <f t="shared" si="16"/>
        <v>0</v>
      </c>
      <c r="BD52" s="10">
        <f t="shared" si="17"/>
        <v>0</v>
      </c>
      <c r="BE52" s="10">
        <f t="shared" si="18"/>
        <v>0</v>
      </c>
      <c r="BF52" s="10">
        <f t="shared" si="19"/>
        <v>0</v>
      </c>
      <c r="BG52" s="10">
        <f t="shared" si="20"/>
        <v>0</v>
      </c>
      <c r="BH52" s="10">
        <f t="shared" si="38"/>
        <v>0</v>
      </c>
      <c r="BI52" s="10">
        <f t="shared" si="39"/>
        <v>0</v>
      </c>
      <c r="BJ52" s="79"/>
      <c r="BK52" s="4">
        <f>COUNTIF(Orders!$S$17:$S$36,B52)</f>
        <v>0</v>
      </c>
      <c r="BL52" s="10">
        <f t="shared" si="21"/>
        <v>0</v>
      </c>
      <c r="BM52" s="10">
        <f t="shared" si="22"/>
        <v>0</v>
      </c>
      <c r="BN52" s="10">
        <f t="shared" si="23"/>
        <v>0</v>
      </c>
      <c r="BO52" s="10">
        <f t="shared" si="24"/>
        <v>0</v>
      </c>
      <c r="BP52" s="10">
        <f t="shared" si="25"/>
        <v>0</v>
      </c>
      <c r="BQ52" s="10">
        <f t="shared" si="26"/>
        <v>0</v>
      </c>
      <c r="BR52" s="10">
        <f t="shared" si="40"/>
        <v>0</v>
      </c>
      <c r="BS52" s="10">
        <f t="shared" si="41"/>
        <v>0</v>
      </c>
    </row>
    <row r="53" spans="2:71" ht="12.75">
      <c r="B53" s="38">
        <f>B52+1</f>
        <v>35</v>
      </c>
      <c r="C53" s="195"/>
      <c r="D53" s="311" t="s">
        <v>47</v>
      </c>
      <c r="E53" s="311"/>
      <c r="F53" s="311"/>
      <c r="G53" s="196" t="s">
        <v>48</v>
      </c>
      <c r="H53" s="195">
        <v>0</v>
      </c>
      <c r="I53" s="195">
        <v>12</v>
      </c>
      <c r="J53" s="195">
        <v>0</v>
      </c>
      <c r="K53" s="195">
        <v>0</v>
      </c>
      <c r="L53" s="195">
        <v>0</v>
      </c>
      <c r="M53" s="195">
        <v>0</v>
      </c>
      <c r="N53" s="197"/>
      <c r="O53" s="8">
        <f t="shared" si="27"/>
      </c>
      <c r="P53" s="195"/>
      <c r="Q53" s="195"/>
      <c r="R53" s="76" t="str">
        <f t="shared" si="0"/>
        <v>0</v>
      </c>
      <c r="S53" s="10">
        <f t="shared" si="28"/>
        <v>0</v>
      </c>
      <c r="T53" s="64" t="e">
        <f t="shared" si="1"/>
        <v>#N/A</v>
      </c>
      <c r="U53" s="64">
        <f t="shared" si="29"/>
        <v>0</v>
      </c>
      <c r="V53" s="195"/>
      <c r="W53" s="195"/>
      <c r="X53" s="195"/>
      <c r="Y53" s="195"/>
      <c r="Z53" s="195"/>
      <c r="AA53" s="215">
        <f t="shared" si="30"/>
      </c>
      <c r="AB53" s="4">
        <f t="shared" si="31"/>
        <v>0</v>
      </c>
      <c r="AC53" s="4">
        <f t="shared" si="32"/>
        <v>0</v>
      </c>
      <c r="AD53" s="4">
        <f t="shared" si="33"/>
        <v>0</v>
      </c>
      <c r="AE53" s="4">
        <f t="shared" si="34"/>
        <v>0</v>
      </c>
      <c r="AF53" s="79"/>
      <c r="AG53" s="10">
        <f>COUNTIF(Orders!$A$17:$A$36,B53)</f>
        <v>0</v>
      </c>
      <c r="AH53" s="10">
        <f t="shared" si="2"/>
        <v>0</v>
      </c>
      <c r="AI53" s="10">
        <f t="shared" si="3"/>
        <v>0</v>
      </c>
      <c r="AJ53" s="10">
        <f t="shared" si="4"/>
        <v>0</v>
      </c>
      <c r="AK53" s="10">
        <f t="shared" si="35"/>
        <v>0</v>
      </c>
      <c r="AL53" s="10">
        <f t="shared" si="5"/>
        <v>0</v>
      </c>
      <c r="AM53" s="10">
        <f t="shared" si="6"/>
        <v>0</v>
      </c>
      <c r="AN53" s="10">
        <f t="shared" si="7"/>
        <v>0</v>
      </c>
      <c r="AO53" s="10">
        <f t="shared" si="36"/>
        <v>0</v>
      </c>
      <c r="AP53" s="74"/>
      <c r="AQ53" s="4">
        <f>COUNTIF(Orders!$G$17:$G$36,B53)</f>
        <v>0</v>
      </c>
      <c r="AR53" s="10">
        <f t="shared" si="8"/>
        <v>0</v>
      </c>
      <c r="AS53" s="10">
        <f t="shared" si="9"/>
        <v>0</v>
      </c>
      <c r="AT53" s="10">
        <f t="shared" si="10"/>
        <v>0</v>
      </c>
      <c r="AU53" s="10">
        <f t="shared" si="11"/>
        <v>0</v>
      </c>
      <c r="AV53" s="10">
        <f t="shared" si="12"/>
        <v>0</v>
      </c>
      <c r="AW53" s="10">
        <f t="shared" si="13"/>
        <v>0</v>
      </c>
      <c r="AX53" s="10">
        <f t="shared" si="14"/>
        <v>0</v>
      </c>
      <c r="AY53" s="10">
        <f t="shared" si="37"/>
        <v>0</v>
      </c>
      <c r="AZ53" s="79"/>
      <c r="BA53" s="4">
        <f>COUNTIF(Orders!$M$17:$M$36,B53)</f>
        <v>0</v>
      </c>
      <c r="BB53" s="10">
        <f t="shared" si="15"/>
        <v>0</v>
      </c>
      <c r="BC53" s="10">
        <f t="shared" si="16"/>
        <v>0</v>
      </c>
      <c r="BD53" s="10">
        <f t="shared" si="17"/>
        <v>0</v>
      </c>
      <c r="BE53" s="10">
        <f t="shared" si="18"/>
        <v>0</v>
      </c>
      <c r="BF53" s="10">
        <f t="shared" si="19"/>
        <v>0</v>
      </c>
      <c r="BG53" s="10">
        <f t="shared" si="20"/>
        <v>0</v>
      </c>
      <c r="BH53" s="10">
        <f t="shared" si="38"/>
        <v>0</v>
      </c>
      <c r="BI53" s="10">
        <f t="shared" si="39"/>
        <v>0</v>
      </c>
      <c r="BJ53" s="79"/>
      <c r="BK53" s="4">
        <f>COUNTIF(Orders!$S$17:$S$36,B53)</f>
        <v>0</v>
      </c>
      <c r="BL53" s="10">
        <f t="shared" si="21"/>
        <v>0</v>
      </c>
      <c r="BM53" s="10">
        <f t="shared" si="22"/>
        <v>0</v>
      </c>
      <c r="BN53" s="10">
        <f t="shared" si="23"/>
        <v>0</v>
      </c>
      <c r="BO53" s="10">
        <f t="shared" si="24"/>
        <v>0</v>
      </c>
      <c r="BP53" s="10">
        <f t="shared" si="25"/>
        <v>0</v>
      </c>
      <c r="BQ53" s="10">
        <f t="shared" si="26"/>
        <v>0</v>
      </c>
      <c r="BR53" s="10">
        <f t="shared" si="40"/>
        <v>0</v>
      </c>
      <c r="BS53" s="10">
        <f t="shared" si="41"/>
        <v>0</v>
      </c>
    </row>
    <row r="54" spans="2:71" ht="12.75">
      <c r="B54" s="38">
        <f t="shared" si="42"/>
        <v>36</v>
      </c>
      <c r="C54" s="195"/>
      <c r="D54" s="311" t="s">
        <v>47</v>
      </c>
      <c r="E54" s="311"/>
      <c r="F54" s="311"/>
      <c r="G54" s="196" t="s">
        <v>48</v>
      </c>
      <c r="H54" s="195">
        <v>0</v>
      </c>
      <c r="I54" s="195">
        <v>12</v>
      </c>
      <c r="J54" s="195">
        <v>0</v>
      </c>
      <c r="K54" s="195">
        <v>0</v>
      </c>
      <c r="L54" s="195">
        <v>0</v>
      </c>
      <c r="M54" s="195">
        <v>0</v>
      </c>
      <c r="N54" s="197"/>
      <c r="O54" s="8">
        <f t="shared" si="27"/>
      </c>
      <c r="P54" s="195"/>
      <c r="Q54" s="195"/>
      <c r="R54" s="76" t="str">
        <f t="shared" si="0"/>
        <v>0</v>
      </c>
      <c r="S54" s="10">
        <f t="shared" si="28"/>
        <v>0</v>
      </c>
      <c r="T54" s="64" t="e">
        <f t="shared" si="1"/>
        <v>#N/A</v>
      </c>
      <c r="U54" s="64">
        <f t="shared" si="29"/>
        <v>0</v>
      </c>
      <c r="V54" s="195"/>
      <c r="W54" s="195"/>
      <c r="X54" s="195"/>
      <c r="Y54" s="195"/>
      <c r="Z54" s="195"/>
      <c r="AA54" s="215">
        <f t="shared" si="30"/>
      </c>
      <c r="AB54" s="4">
        <f t="shared" si="31"/>
        <v>0</v>
      </c>
      <c r="AC54" s="4">
        <f t="shared" si="32"/>
        <v>0</v>
      </c>
      <c r="AD54" s="4">
        <f t="shared" si="33"/>
        <v>0</v>
      </c>
      <c r="AE54" s="4">
        <f t="shared" si="34"/>
        <v>0</v>
      </c>
      <c r="AF54" s="79"/>
      <c r="AG54" s="10">
        <f>COUNTIF(Orders!$A$17:$A$36,B54)</f>
        <v>0</v>
      </c>
      <c r="AH54" s="10">
        <f t="shared" si="2"/>
        <v>0</v>
      </c>
      <c r="AI54" s="10">
        <f t="shared" si="3"/>
        <v>0</v>
      </c>
      <c r="AJ54" s="10">
        <f t="shared" si="4"/>
        <v>0</v>
      </c>
      <c r="AK54" s="10">
        <f t="shared" si="35"/>
        <v>0</v>
      </c>
      <c r="AL54" s="10">
        <f t="shared" si="5"/>
        <v>0</v>
      </c>
      <c r="AM54" s="10">
        <f t="shared" si="6"/>
        <v>0</v>
      </c>
      <c r="AN54" s="10">
        <f t="shared" si="7"/>
        <v>0</v>
      </c>
      <c r="AO54" s="10">
        <f t="shared" si="36"/>
        <v>0</v>
      </c>
      <c r="AP54" s="74"/>
      <c r="AQ54" s="4">
        <f>COUNTIF(Orders!$G$17:$G$36,B54)</f>
        <v>0</v>
      </c>
      <c r="AR54" s="10">
        <f t="shared" si="8"/>
        <v>0</v>
      </c>
      <c r="AS54" s="10">
        <f t="shared" si="9"/>
        <v>0</v>
      </c>
      <c r="AT54" s="10">
        <f t="shared" si="10"/>
        <v>0</v>
      </c>
      <c r="AU54" s="10">
        <f t="shared" si="11"/>
        <v>0</v>
      </c>
      <c r="AV54" s="10">
        <f t="shared" si="12"/>
        <v>0</v>
      </c>
      <c r="AW54" s="10">
        <f t="shared" si="13"/>
        <v>0</v>
      </c>
      <c r="AX54" s="10">
        <f t="shared" si="14"/>
        <v>0</v>
      </c>
      <c r="AY54" s="10">
        <f t="shared" si="37"/>
        <v>0</v>
      </c>
      <c r="AZ54" s="79"/>
      <c r="BA54" s="4">
        <f>COUNTIF(Orders!$M$17:$M$36,B54)</f>
        <v>0</v>
      </c>
      <c r="BB54" s="10">
        <f t="shared" si="15"/>
        <v>0</v>
      </c>
      <c r="BC54" s="10">
        <f t="shared" si="16"/>
        <v>0</v>
      </c>
      <c r="BD54" s="10">
        <f t="shared" si="17"/>
        <v>0</v>
      </c>
      <c r="BE54" s="10">
        <f t="shared" si="18"/>
        <v>0</v>
      </c>
      <c r="BF54" s="10">
        <f t="shared" si="19"/>
        <v>0</v>
      </c>
      <c r="BG54" s="10">
        <f t="shared" si="20"/>
        <v>0</v>
      </c>
      <c r="BH54" s="10">
        <f t="shared" si="38"/>
        <v>0</v>
      </c>
      <c r="BI54" s="10">
        <f t="shared" si="39"/>
        <v>0</v>
      </c>
      <c r="BJ54" s="79"/>
      <c r="BK54" s="4">
        <f>COUNTIF(Orders!$S$17:$S$36,B54)</f>
        <v>0</v>
      </c>
      <c r="BL54" s="10">
        <f t="shared" si="21"/>
        <v>0</v>
      </c>
      <c r="BM54" s="10">
        <f t="shared" si="22"/>
        <v>0</v>
      </c>
      <c r="BN54" s="10">
        <f t="shared" si="23"/>
        <v>0</v>
      </c>
      <c r="BO54" s="10">
        <f t="shared" si="24"/>
        <v>0</v>
      </c>
      <c r="BP54" s="10">
        <f t="shared" si="25"/>
        <v>0</v>
      </c>
      <c r="BQ54" s="10">
        <f t="shared" si="26"/>
        <v>0</v>
      </c>
      <c r="BR54" s="10">
        <f t="shared" si="40"/>
        <v>0</v>
      </c>
      <c r="BS54" s="10">
        <f t="shared" si="41"/>
        <v>0</v>
      </c>
    </row>
    <row r="55" spans="2:71" ht="12.75">
      <c r="B55" s="38">
        <f t="shared" si="42"/>
        <v>37</v>
      </c>
      <c r="C55" s="195"/>
      <c r="D55" s="311" t="s">
        <v>47</v>
      </c>
      <c r="E55" s="311"/>
      <c r="F55" s="311"/>
      <c r="G55" s="196" t="s">
        <v>48</v>
      </c>
      <c r="H55" s="195">
        <v>0</v>
      </c>
      <c r="I55" s="195">
        <v>12</v>
      </c>
      <c r="J55" s="195">
        <v>0</v>
      </c>
      <c r="K55" s="195">
        <v>0</v>
      </c>
      <c r="L55" s="195">
        <v>0</v>
      </c>
      <c r="M55" s="195">
        <v>0</v>
      </c>
      <c r="N55" s="197"/>
      <c r="O55" s="8">
        <f t="shared" si="27"/>
      </c>
      <c r="P55" s="195"/>
      <c r="Q55" s="195"/>
      <c r="R55" s="76" t="str">
        <f t="shared" si="0"/>
        <v>0</v>
      </c>
      <c r="S55" s="10">
        <f t="shared" si="28"/>
        <v>0</v>
      </c>
      <c r="T55" s="64" t="e">
        <f t="shared" si="1"/>
        <v>#N/A</v>
      </c>
      <c r="U55" s="64">
        <f t="shared" si="29"/>
        <v>0</v>
      </c>
      <c r="V55" s="195"/>
      <c r="W55" s="195"/>
      <c r="X55" s="195"/>
      <c r="Y55" s="195"/>
      <c r="Z55" s="195"/>
      <c r="AA55" s="215">
        <f t="shared" si="30"/>
      </c>
      <c r="AB55" s="4">
        <f t="shared" si="31"/>
        <v>0</v>
      </c>
      <c r="AC55" s="4">
        <f t="shared" si="32"/>
        <v>0</v>
      </c>
      <c r="AD55" s="4">
        <f t="shared" si="33"/>
        <v>0</v>
      </c>
      <c r="AE55" s="4">
        <f t="shared" si="34"/>
        <v>0</v>
      </c>
      <c r="AF55" s="79"/>
      <c r="AG55" s="10">
        <f>COUNTIF(Orders!$A$17:$A$36,B55)</f>
        <v>0</v>
      </c>
      <c r="AH55" s="10">
        <f t="shared" si="2"/>
        <v>0</v>
      </c>
      <c r="AI55" s="10">
        <f t="shared" si="3"/>
        <v>0</v>
      </c>
      <c r="AJ55" s="10">
        <f t="shared" si="4"/>
        <v>0</v>
      </c>
      <c r="AK55" s="10">
        <f t="shared" si="35"/>
        <v>0</v>
      </c>
      <c r="AL55" s="10">
        <f t="shared" si="5"/>
        <v>0</v>
      </c>
      <c r="AM55" s="10">
        <f t="shared" si="6"/>
        <v>0</v>
      </c>
      <c r="AN55" s="10">
        <f t="shared" si="7"/>
        <v>0</v>
      </c>
      <c r="AO55" s="10">
        <f t="shared" si="36"/>
        <v>0</v>
      </c>
      <c r="AP55" s="74"/>
      <c r="AQ55" s="4">
        <f>COUNTIF(Orders!$G$17:$G$36,B55)</f>
        <v>0</v>
      </c>
      <c r="AR55" s="10">
        <f t="shared" si="8"/>
        <v>0</v>
      </c>
      <c r="AS55" s="10">
        <f t="shared" si="9"/>
        <v>0</v>
      </c>
      <c r="AT55" s="10">
        <f t="shared" si="10"/>
        <v>0</v>
      </c>
      <c r="AU55" s="10">
        <f t="shared" si="11"/>
        <v>0</v>
      </c>
      <c r="AV55" s="10">
        <f t="shared" si="12"/>
        <v>0</v>
      </c>
      <c r="AW55" s="10">
        <f t="shared" si="13"/>
        <v>0</v>
      </c>
      <c r="AX55" s="10">
        <f t="shared" si="14"/>
        <v>0</v>
      </c>
      <c r="AY55" s="10">
        <f t="shared" si="37"/>
        <v>0</v>
      </c>
      <c r="AZ55" s="79"/>
      <c r="BA55" s="4">
        <f>COUNTIF(Orders!$M$17:$M$36,B55)</f>
        <v>0</v>
      </c>
      <c r="BB55" s="10">
        <f t="shared" si="15"/>
        <v>0</v>
      </c>
      <c r="BC55" s="10">
        <f t="shared" si="16"/>
        <v>0</v>
      </c>
      <c r="BD55" s="10">
        <f t="shared" si="17"/>
        <v>0</v>
      </c>
      <c r="BE55" s="10">
        <f t="shared" si="18"/>
        <v>0</v>
      </c>
      <c r="BF55" s="10">
        <f t="shared" si="19"/>
        <v>0</v>
      </c>
      <c r="BG55" s="10">
        <f t="shared" si="20"/>
        <v>0</v>
      </c>
      <c r="BH55" s="10">
        <f t="shared" si="38"/>
        <v>0</v>
      </c>
      <c r="BI55" s="10">
        <f t="shared" si="39"/>
        <v>0</v>
      </c>
      <c r="BJ55" s="79"/>
      <c r="BK55" s="4">
        <f>COUNTIF(Orders!$S$17:$S$36,B55)</f>
        <v>0</v>
      </c>
      <c r="BL55" s="10">
        <f t="shared" si="21"/>
        <v>0</v>
      </c>
      <c r="BM55" s="10">
        <f t="shared" si="22"/>
        <v>0</v>
      </c>
      <c r="BN55" s="10">
        <f t="shared" si="23"/>
        <v>0</v>
      </c>
      <c r="BO55" s="10">
        <f t="shared" si="24"/>
        <v>0</v>
      </c>
      <c r="BP55" s="10">
        <f t="shared" si="25"/>
        <v>0</v>
      </c>
      <c r="BQ55" s="10">
        <f t="shared" si="26"/>
        <v>0</v>
      </c>
      <c r="BR55" s="10">
        <f t="shared" si="40"/>
        <v>0</v>
      </c>
      <c r="BS55" s="10">
        <f t="shared" si="41"/>
        <v>0</v>
      </c>
    </row>
    <row r="56" spans="2:71" ht="12.75">
      <c r="B56" s="38">
        <f t="shared" si="42"/>
        <v>38</v>
      </c>
      <c r="C56" s="195"/>
      <c r="D56" s="311" t="s">
        <v>47</v>
      </c>
      <c r="E56" s="311"/>
      <c r="F56" s="311"/>
      <c r="G56" s="196" t="s">
        <v>48</v>
      </c>
      <c r="H56" s="195">
        <v>0</v>
      </c>
      <c r="I56" s="195">
        <v>12</v>
      </c>
      <c r="J56" s="195">
        <v>0</v>
      </c>
      <c r="K56" s="195">
        <v>0</v>
      </c>
      <c r="L56" s="195">
        <v>0</v>
      </c>
      <c r="M56" s="195">
        <v>0</v>
      </c>
      <c r="N56" s="197"/>
      <c r="O56" s="8">
        <f t="shared" si="27"/>
      </c>
      <c r="P56" s="195"/>
      <c r="Q56" s="195"/>
      <c r="R56" s="76" t="str">
        <f t="shared" si="0"/>
        <v>0</v>
      </c>
      <c r="S56" s="10">
        <f t="shared" si="28"/>
        <v>0</v>
      </c>
      <c r="T56" s="64" t="e">
        <f t="shared" si="1"/>
        <v>#N/A</v>
      </c>
      <c r="U56" s="64">
        <f t="shared" si="29"/>
        <v>0</v>
      </c>
      <c r="V56" s="195"/>
      <c r="W56" s="195"/>
      <c r="X56" s="195"/>
      <c r="Y56" s="195"/>
      <c r="Z56" s="195"/>
      <c r="AA56" s="215">
        <f t="shared" si="30"/>
      </c>
      <c r="AB56" s="4">
        <f t="shared" si="31"/>
        <v>0</v>
      </c>
      <c r="AC56" s="4">
        <f t="shared" si="32"/>
        <v>0</v>
      </c>
      <c r="AD56" s="4">
        <f t="shared" si="33"/>
        <v>0</v>
      </c>
      <c r="AE56" s="4">
        <f t="shared" si="34"/>
        <v>0</v>
      </c>
      <c r="AF56" s="79"/>
      <c r="AG56" s="10">
        <f>COUNTIF(Orders!$A$17:$A$36,B56)</f>
        <v>0</v>
      </c>
      <c r="AH56" s="10">
        <f t="shared" si="2"/>
        <v>0</v>
      </c>
      <c r="AI56" s="10">
        <f t="shared" si="3"/>
        <v>0</v>
      </c>
      <c r="AJ56" s="10">
        <f t="shared" si="4"/>
        <v>0</v>
      </c>
      <c r="AK56" s="10">
        <f t="shared" si="35"/>
        <v>0</v>
      </c>
      <c r="AL56" s="10">
        <f t="shared" si="5"/>
        <v>0</v>
      </c>
      <c r="AM56" s="10">
        <f t="shared" si="6"/>
        <v>0</v>
      </c>
      <c r="AN56" s="10">
        <f t="shared" si="7"/>
        <v>0</v>
      </c>
      <c r="AO56" s="10">
        <f t="shared" si="36"/>
        <v>0</v>
      </c>
      <c r="AP56" s="74"/>
      <c r="AQ56" s="4">
        <f>COUNTIF(Orders!$G$17:$G$36,B56)</f>
        <v>0</v>
      </c>
      <c r="AR56" s="10">
        <f t="shared" si="8"/>
        <v>0</v>
      </c>
      <c r="AS56" s="10">
        <f t="shared" si="9"/>
        <v>0</v>
      </c>
      <c r="AT56" s="10">
        <f t="shared" si="10"/>
        <v>0</v>
      </c>
      <c r="AU56" s="10">
        <f t="shared" si="11"/>
        <v>0</v>
      </c>
      <c r="AV56" s="10">
        <f t="shared" si="12"/>
        <v>0</v>
      </c>
      <c r="AW56" s="10">
        <f t="shared" si="13"/>
        <v>0</v>
      </c>
      <c r="AX56" s="10">
        <f t="shared" si="14"/>
        <v>0</v>
      </c>
      <c r="AY56" s="10">
        <f t="shared" si="37"/>
        <v>0</v>
      </c>
      <c r="AZ56" s="79"/>
      <c r="BA56" s="4">
        <f>COUNTIF(Orders!$M$17:$M$36,B56)</f>
        <v>0</v>
      </c>
      <c r="BB56" s="10">
        <f t="shared" si="15"/>
        <v>0</v>
      </c>
      <c r="BC56" s="10">
        <f t="shared" si="16"/>
        <v>0</v>
      </c>
      <c r="BD56" s="10">
        <f t="shared" si="17"/>
        <v>0</v>
      </c>
      <c r="BE56" s="10">
        <f t="shared" si="18"/>
        <v>0</v>
      </c>
      <c r="BF56" s="10">
        <f t="shared" si="19"/>
        <v>0</v>
      </c>
      <c r="BG56" s="10">
        <f t="shared" si="20"/>
        <v>0</v>
      </c>
      <c r="BH56" s="10">
        <f t="shared" si="38"/>
        <v>0</v>
      </c>
      <c r="BI56" s="10">
        <f t="shared" si="39"/>
        <v>0</v>
      </c>
      <c r="BJ56" s="79"/>
      <c r="BK56" s="4">
        <f>COUNTIF(Orders!$S$17:$S$36,B56)</f>
        <v>0</v>
      </c>
      <c r="BL56" s="10">
        <f t="shared" si="21"/>
        <v>0</v>
      </c>
      <c r="BM56" s="10">
        <f t="shared" si="22"/>
        <v>0</v>
      </c>
      <c r="BN56" s="10">
        <f t="shared" si="23"/>
        <v>0</v>
      </c>
      <c r="BO56" s="10">
        <f t="shared" si="24"/>
        <v>0</v>
      </c>
      <c r="BP56" s="10">
        <f t="shared" si="25"/>
        <v>0</v>
      </c>
      <c r="BQ56" s="10">
        <f t="shared" si="26"/>
        <v>0</v>
      </c>
      <c r="BR56" s="10">
        <f t="shared" si="40"/>
        <v>0</v>
      </c>
      <c r="BS56" s="10">
        <f t="shared" si="41"/>
        <v>0</v>
      </c>
    </row>
    <row r="57" spans="2:71" ht="12.75">
      <c r="B57" s="38">
        <f t="shared" si="42"/>
        <v>39</v>
      </c>
      <c r="C57" s="195"/>
      <c r="D57" s="311" t="s">
        <v>47</v>
      </c>
      <c r="E57" s="311"/>
      <c r="F57" s="311"/>
      <c r="G57" s="196" t="s">
        <v>48</v>
      </c>
      <c r="H57" s="195">
        <v>0</v>
      </c>
      <c r="I57" s="195">
        <v>12</v>
      </c>
      <c r="J57" s="195">
        <v>0</v>
      </c>
      <c r="K57" s="195">
        <v>0</v>
      </c>
      <c r="L57" s="195">
        <v>0</v>
      </c>
      <c r="M57" s="195">
        <v>0</v>
      </c>
      <c r="N57" s="197"/>
      <c r="O57" s="8">
        <f t="shared" si="27"/>
      </c>
      <c r="P57" s="195"/>
      <c r="Q57" s="195"/>
      <c r="R57" s="76" t="str">
        <f t="shared" si="0"/>
        <v>0</v>
      </c>
      <c r="S57" s="10">
        <f t="shared" si="28"/>
        <v>0</v>
      </c>
      <c r="T57" s="64" t="e">
        <f t="shared" si="1"/>
        <v>#N/A</v>
      </c>
      <c r="U57" s="64">
        <f t="shared" si="29"/>
        <v>0</v>
      </c>
      <c r="V57" s="195"/>
      <c r="W57" s="195"/>
      <c r="X57" s="195"/>
      <c r="Y57" s="195"/>
      <c r="Z57" s="195"/>
      <c r="AA57" s="215">
        <f t="shared" si="30"/>
      </c>
      <c r="AB57" s="4">
        <f t="shared" si="31"/>
        <v>0</v>
      </c>
      <c r="AC57" s="4">
        <f t="shared" si="32"/>
        <v>0</v>
      </c>
      <c r="AD57" s="4">
        <f t="shared" si="33"/>
        <v>0</v>
      </c>
      <c r="AE57" s="4">
        <f t="shared" si="34"/>
        <v>0</v>
      </c>
      <c r="AF57" s="79"/>
      <c r="AG57" s="10">
        <f>COUNTIF(Orders!$A$17:$A$36,B57)</f>
        <v>0</v>
      </c>
      <c r="AH57" s="10">
        <f t="shared" si="2"/>
        <v>0</v>
      </c>
      <c r="AI57" s="10">
        <f t="shared" si="3"/>
        <v>0</v>
      </c>
      <c r="AJ57" s="10">
        <f t="shared" si="4"/>
        <v>0</v>
      </c>
      <c r="AK57" s="10">
        <f t="shared" si="35"/>
        <v>0</v>
      </c>
      <c r="AL57" s="10">
        <f t="shared" si="5"/>
        <v>0</v>
      </c>
      <c r="AM57" s="10">
        <f t="shared" si="6"/>
        <v>0</v>
      </c>
      <c r="AN57" s="10">
        <f t="shared" si="7"/>
        <v>0</v>
      </c>
      <c r="AO57" s="10">
        <f t="shared" si="36"/>
        <v>0</v>
      </c>
      <c r="AP57" s="74"/>
      <c r="AQ57" s="4">
        <f>COUNTIF(Orders!$G$17:$G$36,B57)</f>
        <v>0</v>
      </c>
      <c r="AR57" s="10">
        <f t="shared" si="8"/>
        <v>0</v>
      </c>
      <c r="AS57" s="10">
        <f t="shared" si="9"/>
        <v>0</v>
      </c>
      <c r="AT57" s="10">
        <f t="shared" si="10"/>
        <v>0</v>
      </c>
      <c r="AU57" s="10">
        <f t="shared" si="11"/>
        <v>0</v>
      </c>
      <c r="AV57" s="10">
        <f t="shared" si="12"/>
        <v>0</v>
      </c>
      <c r="AW57" s="10">
        <f t="shared" si="13"/>
        <v>0</v>
      </c>
      <c r="AX57" s="10">
        <f t="shared" si="14"/>
        <v>0</v>
      </c>
      <c r="AY57" s="10">
        <f t="shared" si="37"/>
        <v>0</v>
      </c>
      <c r="AZ57" s="79"/>
      <c r="BA57" s="4">
        <f>COUNTIF(Orders!$M$17:$M$36,B57)</f>
        <v>0</v>
      </c>
      <c r="BB57" s="10">
        <f t="shared" si="15"/>
        <v>0</v>
      </c>
      <c r="BC57" s="10">
        <f t="shared" si="16"/>
        <v>0</v>
      </c>
      <c r="BD57" s="10">
        <f t="shared" si="17"/>
        <v>0</v>
      </c>
      <c r="BE57" s="10">
        <f t="shared" si="18"/>
        <v>0</v>
      </c>
      <c r="BF57" s="10">
        <f t="shared" si="19"/>
        <v>0</v>
      </c>
      <c r="BG57" s="10">
        <f t="shared" si="20"/>
        <v>0</v>
      </c>
      <c r="BH57" s="10">
        <f t="shared" si="38"/>
        <v>0</v>
      </c>
      <c r="BI57" s="10">
        <f t="shared" si="39"/>
        <v>0</v>
      </c>
      <c r="BJ57" s="79"/>
      <c r="BK57" s="4">
        <f>COUNTIF(Orders!$S$17:$S$36,B57)</f>
        <v>0</v>
      </c>
      <c r="BL57" s="10">
        <f t="shared" si="21"/>
        <v>0</v>
      </c>
      <c r="BM57" s="10">
        <f t="shared" si="22"/>
        <v>0</v>
      </c>
      <c r="BN57" s="10">
        <f t="shared" si="23"/>
        <v>0</v>
      </c>
      <c r="BO57" s="10">
        <f t="shared" si="24"/>
        <v>0</v>
      </c>
      <c r="BP57" s="10">
        <f t="shared" si="25"/>
        <v>0</v>
      </c>
      <c r="BQ57" s="10">
        <f t="shared" si="26"/>
        <v>0</v>
      </c>
      <c r="BR57" s="10">
        <f t="shared" si="40"/>
        <v>0</v>
      </c>
      <c r="BS57" s="10">
        <f t="shared" si="41"/>
        <v>0</v>
      </c>
    </row>
    <row r="58" spans="2:71" ht="12.75">
      <c r="B58" s="38">
        <f t="shared" si="42"/>
        <v>40</v>
      </c>
      <c r="C58" s="195"/>
      <c r="D58" s="311" t="s">
        <v>47</v>
      </c>
      <c r="E58" s="311"/>
      <c r="F58" s="311"/>
      <c r="G58" s="196" t="s">
        <v>49</v>
      </c>
      <c r="H58" s="195">
        <v>0</v>
      </c>
      <c r="I58" s="195">
        <v>10</v>
      </c>
      <c r="J58" s="195">
        <v>0</v>
      </c>
      <c r="K58" s="195">
        <v>0</v>
      </c>
      <c r="L58" s="195">
        <v>0</v>
      </c>
      <c r="M58" s="195">
        <v>0</v>
      </c>
      <c r="N58" s="197"/>
      <c r="O58" s="8">
        <f t="shared" si="27"/>
      </c>
      <c r="P58" s="195"/>
      <c r="Q58" s="195"/>
      <c r="R58" s="76" t="str">
        <f>IF(G58="",0,IF(C58="","0",IF(G58="SB2",(T58/2),IF(G58="SB1",(T58/2),IF(G58="YTS",0,T58)))))</f>
        <v>0</v>
      </c>
      <c r="S58" s="10">
        <f t="shared" si="28"/>
        <v>0</v>
      </c>
      <c r="T58" s="64" t="e">
        <f t="shared" si="1"/>
        <v>#N/A</v>
      </c>
      <c r="U58" s="64">
        <f t="shared" si="29"/>
        <v>0</v>
      </c>
      <c r="V58" s="195"/>
      <c r="W58" s="195"/>
      <c r="X58" s="195"/>
      <c r="Y58" s="195"/>
      <c r="Z58" s="195"/>
      <c r="AA58" s="215">
        <f t="shared" si="30"/>
      </c>
      <c r="AB58" s="4">
        <f t="shared" si="31"/>
        <v>0</v>
      </c>
      <c r="AC58" s="4">
        <f t="shared" si="32"/>
        <v>0</v>
      </c>
      <c r="AD58" s="4">
        <f t="shared" si="33"/>
        <v>0</v>
      </c>
      <c r="AE58" s="4">
        <f t="shared" si="34"/>
        <v>0</v>
      </c>
      <c r="AF58" s="79"/>
      <c r="AG58" s="10">
        <f>COUNTIF(Orders!$A$17:$A$36,B58)</f>
        <v>0</v>
      </c>
      <c r="AH58" s="10">
        <f t="shared" si="2"/>
        <v>0</v>
      </c>
      <c r="AI58" s="10">
        <f t="shared" si="3"/>
        <v>0</v>
      </c>
      <c r="AJ58" s="10">
        <f t="shared" si="4"/>
        <v>0</v>
      </c>
      <c r="AK58" s="10">
        <f t="shared" si="35"/>
        <v>0</v>
      </c>
      <c r="AL58" s="10">
        <f t="shared" si="5"/>
        <v>0</v>
      </c>
      <c r="AM58" s="10">
        <f t="shared" si="6"/>
        <v>0</v>
      </c>
      <c r="AN58" s="10">
        <f t="shared" si="7"/>
        <v>0</v>
      </c>
      <c r="AO58" s="10">
        <f t="shared" si="36"/>
        <v>0</v>
      </c>
      <c r="AP58" s="74"/>
      <c r="AQ58" s="4">
        <f>COUNTIF(Orders!$G$17:$G$36,B58)</f>
        <v>0</v>
      </c>
      <c r="AR58" s="10">
        <f t="shared" si="8"/>
        <v>0</v>
      </c>
      <c r="AS58" s="10">
        <f t="shared" si="9"/>
        <v>0</v>
      </c>
      <c r="AT58" s="10">
        <f t="shared" si="10"/>
        <v>0</v>
      </c>
      <c r="AU58" s="10">
        <f t="shared" si="11"/>
        <v>0</v>
      </c>
      <c r="AV58" s="10">
        <f t="shared" si="12"/>
        <v>0</v>
      </c>
      <c r="AW58" s="10">
        <f t="shared" si="13"/>
        <v>0</v>
      </c>
      <c r="AX58" s="10">
        <f t="shared" si="14"/>
        <v>0</v>
      </c>
      <c r="AY58" s="10">
        <f t="shared" si="37"/>
        <v>0</v>
      </c>
      <c r="AZ58" s="79"/>
      <c r="BA58" s="4">
        <f>COUNTIF(Orders!$M$17:$M$36,B58)</f>
        <v>0</v>
      </c>
      <c r="BB58" s="10">
        <f t="shared" si="15"/>
        <v>0</v>
      </c>
      <c r="BC58" s="10">
        <f t="shared" si="16"/>
        <v>0</v>
      </c>
      <c r="BD58" s="10">
        <f t="shared" si="17"/>
        <v>0</v>
      </c>
      <c r="BE58" s="10">
        <f t="shared" si="18"/>
        <v>0</v>
      </c>
      <c r="BF58" s="10">
        <f t="shared" si="19"/>
        <v>0</v>
      </c>
      <c r="BG58" s="10">
        <f t="shared" si="20"/>
        <v>0</v>
      </c>
      <c r="BH58" s="10">
        <f t="shared" si="38"/>
        <v>0</v>
      </c>
      <c r="BI58" s="10">
        <f t="shared" si="39"/>
        <v>0</v>
      </c>
      <c r="BJ58" s="79"/>
      <c r="BK58" s="4">
        <f>COUNTIF(Orders!$S$17:$S$36,B58)</f>
        <v>0</v>
      </c>
      <c r="BL58" s="10">
        <f t="shared" si="21"/>
        <v>0</v>
      </c>
      <c r="BM58" s="10">
        <f t="shared" si="22"/>
        <v>0</v>
      </c>
      <c r="BN58" s="10">
        <f t="shared" si="23"/>
        <v>0</v>
      </c>
      <c r="BO58" s="10">
        <f t="shared" si="24"/>
        <v>0</v>
      </c>
      <c r="BP58" s="10">
        <f t="shared" si="25"/>
        <v>0</v>
      </c>
      <c r="BQ58" s="10">
        <f t="shared" si="26"/>
        <v>0</v>
      </c>
      <c r="BR58" s="10">
        <f t="shared" si="40"/>
        <v>0</v>
      </c>
      <c r="BS58" s="10">
        <f t="shared" si="41"/>
        <v>0</v>
      </c>
    </row>
    <row r="59" spans="2:71" ht="12.75">
      <c r="B59" s="38">
        <f t="shared" si="42"/>
        <v>41</v>
      </c>
      <c r="C59" s="10" t="s">
        <v>10</v>
      </c>
      <c r="D59" s="312" t="s">
        <v>50</v>
      </c>
      <c r="E59" s="312"/>
      <c r="F59" s="312"/>
      <c r="G59" s="39" t="s">
        <v>26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37"/>
      <c r="O59" s="11"/>
      <c r="P59" s="10">
        <f>SUM(P19:P58)</f>
        <v>0</v>
      </c>
      <c r="Q59" s="10"/>
      <c r="R59" s="76">
        <v>0</v>
      </c>
      <c r="S59" s="10">
        <v>0</v>
      </c>
      <c r="T59" s="64" t="s">
        <v>113</v>
      </c>
      <c r="U59" s="64">
        <f>SUM(U19:U58)</f>
        <v>0</v>
      </c>
      <c r="V59" s="10"/>
      <c r="W59" s="10"/>
      <c r="X59" s="10"/>
      <c r="Y59" s="10"/>
      <c r="Z59" s="10"/>
      <c r="AB59" s="4" t="str">
        <f>IF(K59+V59&gt;29,"UT",C59)</f>
        <v>GK</v>
      </c>
      <c r="AC59" s="4" t="str">
        <f>IF(K59+V59+W59&gt;29,"UT",C59)</f>
        <v>GK</v>
      </c>
      <c r="AD59" s="4" t="str">
        <f>IF(K59+V59+W59+X59&gt;29,"UT",C59)</f>
        <v>GK</v>
      </c>
      <c r="AE59" s="4" t="str">
        <f>IF(K59+V59+W59+X59+Y59&gt;29,"UT",C59)</f>
        <v>GK</v>
      </c>
      <c r="AF59" s="79"/>
      <c r="AG59" s="10"/>
      <c r="AH59" s="10"/>
      <c r="AI59" s="10"/>
      <c r="AJ59" s="10"/>
      <c r="AK59" s="10"/>
      <c r="AL59" s="10"/>
      <c r="AM59" s="10"/>
      <c r="AN59" s="10"/>
      <c r="AO59" s="10">
        <v>0</v>
      </c>
      <c r="AP59" s="74"/>
      <c r="AQ59" s="4"/>
      <c r="AR59" s="4"/>
      <c r="AS59" s="4"/>
      <c r="AT59" s="4"/>
      <c r="AU59" s="4"/>
      <c r="AV59" s="4"/>
      <c r="AW59" s="4"/>
      <c r="AX59" s="4"/>
      <c r="AY59" s="10">
        <v>0</v>
      </c>
      <c r="AZ59" s="79"/>
      <c r="BA59" s="10"/>
      <c r="BB59" s="10"/>
      <c r="BC59" s="10"/>
      <c r="BD59" s="10"/>
      <c r="BE59" s="10"/>
      <c r="BF59" s="10"/>
      <c r="BG59" s="10"/>
      <c r="BH59" s="10"/>
      <c r="BI59" s="10">
        <v>0</v>
      </c>
      <c r="BJ59" s="79"/>
      <c r="BK59" s="4"/>
      <c r="BL59" s="4"/>
      <c r="BM59" s="4"/>
      <c r="BN59" s="4"/>
      <c r="BO59" s="4"/>
      <c r="BP59" s="4"/>
      <c r="BQ59" s="4"/>
      <c r="BR59" s="4"/>
      <c r="BS59" s="4">
        <v>0</v>
      </c>
    </row>
    <row r="60" spans="2:71" ht="12.75" hidden="1">
      <c r="B60" s="10"/>
      <c r="C60" s="10" t="s">
        <v>89</v>
      </c>
      <c r="D60" s="193"/>
      <c r="E60" s="193"/>
      <c r="F60" s="193"/>
      <c r="G60" s="39" t="s">
        <v>46</v>
      </c>
      <c r="H60" s="10"/>
      <c r="I60" s="10"/>
      <c r="J60" s="10"/>
      <c r="K60" s="10"/>
      <c r="L60" s="10"/>
      <c r="M60" s="10"/>
      <c r="N60" s="10"/>
      <c r="O60" s="74"/>
      <c r="P60" s="74"/>
      <c r="Q60" s="74"/>
      <c r="R60" s="18"/>
      <c r="S60" s="74"/>
      <c r="T60" s="86"/>
      <c r="U60" s="86"/>
      <c r="V60" s="74"/>
      <c r="W60" s="74"/>
      <c r="X60" s="74"/>
      <c r="Y60" s="74"/>
      <c r="Z60" s="74"/>
      <c r="AB60" s="42"/>
      <c r="AC60" s="42"/>
      <c r="AD60" s="42"/>
      <c r="AE60" s="42"/>
      <c r="AF60" s="79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42"/>
      <c r="AR60" s="42"/>
      <c r="AS60" s="42"/>
      <c r="AT60" s="42"/>
      <c r="AU60" s="42"/>
      <c r="AV60" s="42"/>
      <c r="AW60" s="42"/>
      <c r="AX60" s="42"/>
      <c r="AY60" s="74"/>
      <c r="AZ60" s="79"/>
      <c r="BA60" s="74"/>
      <c r="BB60" s="74"/>
      <c r="BC60" s="74"/>
      <c r="BD60" s="74"/>
      <c r="BE60" s="74"/>
      <c r="BF60" s="74"/>
      <c r="BG60" s="74"/>
      <c r="BH60" s="74"/>
      <c r="BI60" s="74"/>
      <c r="BJ60" s="79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2:71" ht="12.75" hidden="1">
      <c r="B61" s="10"/>
      <c r="C61" s="10" t="s">
        <v>11</v>
      </c>
      <c r="D61" s="193"/>
      <c r="E61" s="193"/>
      <c r="F61" s="193"/>
      <c r="G61" s="39" t="s">
        <v>130</v>
      </c>
      <c r="H61" s="10"/>
      <c r="I61" s="10"/>
      <c r="J61" s="10"/>
      <c r="K61" s="10"/>
      <c r="L61" s="10"/>
      <c r="M61" s="10"/>
      <c r="N61" s="10"/>
      <c r="O61" s="74"/>
      <c r="P61" s="74"/>
      <c r="Q61" s="74"/>
      <c r="R61" s="18"/>
      <c r="S61" s="74"/>
      <c r="T61" s="86"/>
      <c r="U61" s="86"/>
      <c r="V61" s="74"/>
      <c r="W61" s="74"/>
      <c r="X61" s="74"/>
      <c r="Y61" s="74"/>
      <c r="Z61" s="74"/>
      <c r="AB61" s="42"/>
      <c r="AC61" s="42"/>
      <c r="AD61" s="42"/>
      <c r="AE61" s="42"/>
      <c r="AF61" s="79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42"/>
      <c r="AW61" s="42"/>
      <c r="AX61" s="42"/>
      <c r="AY61" s="74"/>
      <c r="AZ61" s="79"/>
      <c r="BA61" s="74"/>
      <c r="BB61" s="74"/>
      <c r="BC61" s="74"/>
      <c r="BD61" s="74"/>
      <c r="BE61" s="74"/>
      <c r="BF61" s="74"/>
      <c r="BG61" s="74"/>
      <c r="BH61" s="74"/>
      <c r="BI61" s="74"/>
      <c r="BJ61" s="79"/>
      <c r="BK61" s="42"/>
      <c r="BL61" s="42"/>
      <c r="BM61" s="42"/>
      <c r="BN61" s="42"/>
      <c r="BO61" s="42"/>
      <c r="BP61" s="42"/>
      <c r="BQ61" s="42"/>
      <c r="BR61" s="42"/>
      <c r="BS61" s="42"/>
    </row>
    <row r="62" spans="2:71" ht="12.75" hidden="1">
      <c r="B62" s="10"/>
      <c r="C62" s="10" t="s">
        <v>90</v>
      </c>
      <c r="D62" s="193"/>
      <c r="E62" s="193"/>
      <c r="F62" s="193"/>
      <c r="G62" s="39" t="s">
        <v>131</v>
      </c>
      <c r="H62" s="10"/>
      <c r="I62" s="10"/>
      <c r="J62" s="10"/>
      <c r="K62" s="10"/>
      <c r="L62" s="10"/>
      <c r="M62" s="10"/>
      <c r="N62" s="10"/>
      <c r="O62" s="74"/>
      <c r="P62" s="74"/>
      <c r="Q62" s="74"/>
      <c r="R62" s="18"/>
      <c r="S62" s="74"/>
      <c r="T62" s="86"/>
      <c r="U62" s="86"/>
      <c r="V62" s="74"/>
      <c r="W62" s="74"/>
      <c r="X62" s="74"/>
      <c r="Y62" s="74"/>
      <c r="Z62" s="74"/>
      <c r="AB62" s="42"/>
      <c r="AC62" s="42"/>
      <c r="AD62" s="42"/>
      <c r="AE62" s="42"/>
      <c r="AF62" s="79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42"/>
      <c r="AR62" s="42"/>
      <c r="AS62" s="42"/>
      <c r="AT62" s="42"/>
      <c r="AU62" s="42"/>
      <c r="AV62" s="42"/>
      <c r="AW62" s="42"/>
      <c r="AX62" s="42"/>
      <c r="AY62" s="74"/>
      <c r="AZ62" s="79"/>
      <c r="BA62" s="74"/>
      <c r="BB62" s="74"/>
      <c r="BC62" s="74"/>
      <c r="BD62" s="74"/>
      <c r="BE62" s="74"/>
      <c r="BF62" s="74"/>
      <c r="BG62" s="74"/>
      <c r="BH62" s="74"/>
      <c r="BI62" s="74"/>
      <c r="BJ62" s="79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2:71" ht="12.75" hidden="1">
      <c r="B63" s="10"/>
      <c r="C63" s="10" t="s">
        <v>91</v>
      </c>
      <c r="D63" s="193"/>
      <c r="E63" s="193"/>
      <c r="F63" s="193"/>
      <c r="G63" s="39" t="s">
        <v>252</v>
      </c>
      <c r="H63" s="10"/>
      <c r="I63" s="10"/>
      <c r="J63" s="10"/>
      <c r="K63" s="10"/>
      <c r="L63" s="10"/>
      <c r="M63" s="10"/>
      <c r="N63" s="10"/>
      <c r="O63" s="74"/>
      <c r="P63" s="74"/>
      <c r="Q63" s="74"/>
      <c r="R63" s="18"/>
      <c r="S63" s="74"/>
      <c r="T63" s="86"/>
      <c r="U63" s="86"/>
      <c r="V63" s="74"/>
      <c r="W63" s="74"/>
      <c r="X63" s="74"/>
      <c r="Y63" s="74"/>
      <c r="Z63" s="74"/>
      <c r="AB63" s="42"/>
      <c r="AC63" s="42"/>
      <c r="AD63" s="42"/>
      <c r="AE63" s="42"/>
      <c r="AF63" s="79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42"/>
      <c r="AR63" s="42"/>
      <c r="AS63" s="42"/>
      <c r="AT63" s="42"/>
      <c r="AU63" s="42"/>
      <c r="AV63" s="42"/>
      <c r="AW63" s="42"/>
      <c r="AX63" s="42"/>
      <c r="AY63" s="74"/>
      <c r="AZ63" s="79"/>
      <c r="BA63" s="74"/>
      <c r="BB63" s="74"/>
      <c r="BC63" s="74"/>
      <c r="BD63" s="74"/>
      <c r="BE63" s="74"/>
      <c r="BF63" s="74"/>
      <c r="BG63" s="74"/>
      <c r="BH63" s="74"/>
      <c r="BI63" s="74"/>
      <c r="BJ63" s="79"/>
      <c r="BK63" s="42"/>
      <c r="BL63" s="42"/>
      <c r="BM63" s="42"/>
      <c r="BN63" s="42"/>
      <c r="BO63" s="42"/>
      <c r="BP63" s="42"/>
      <c r="BQ63" s="42"/>
      <c r="BR63" s="42"/>
      <c r="BS63" s="42"/>
    </row>
    <row r="64" spans="2:71" ht="12.75" hidden="1">
      <c r="B64" s="10"/>
      <c r="C64" s="10" t="s">
        <v>12</v>
      </c>
      <c r="D64" s="193"/>
      <c r="E64" s="193"/>
      <c r="F64" s="193"/>
      <c r="G64" s="39" t="s">
        <v>253</v>
      </c>
      <c r="H64" s="10"/>
      <c r="I64" s="10"/>
      <c r="J64" s="10"/>
      <c r="K64" s="10"/>
      <c r="L64" s="10"/>
      <c r="M64" s="10"/>
      <c r="N64" s="10"/>
      <c r="O64" s="74"/>
      <c r="P64" s="74"/>
      <c r="Q64" s="74"/>
      <c r="R64" s="18"/>
      <c r="S64" s="74"/>
      <c r="T64" s="86"/>
      <c r="U64" s="86"/>
      <c r="V64" s="74"/>
      <c r="W64" s="74"/>
      <c r="X64" s="74"/>
      <c r="Y64" s="74"/>
      <c r="Z64" s="74"/>
      <c r="AB64" s="42"/>
      <c r="AC64" s="42"/>
      <c r="AD64" s="42"/>
      <c r="AE64" s="42"/>
      <c r="AF64" s="79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42"/>
      <c r="AR64" s="42"/>
      <c r="AS64" s="42"/>
      <c r="AT64" s="42"/>
      <c r="AU64" s="42"/>
      <c r="AV64" s="42"/>
      <c r="AW64" s="42"/>
      <c r="AX64" s="42"/>
      <c r="AY64" s="74"/>
      <c r="AZ64" s="79"/>
      <c r="BA64" s="74"/>
      <c r="BB64" s="74"/>
      <c r="BC64" s="74"/>
      <c r="BD64" s="74"/>
      <c r="BE64" s="74"/>
      <c r="BF64" s="74"/>
      <c r="BG64" s="74"/>
      <c r="BH64" s="74"/>
      <c r="BI64" s="74"/>
      <c r="BJ64" s="79"/>
      <c r="BK64" s="42"/>
      <c r="BL64" s="42"/>
      <c r="BM64" s="42"/>
      <c r="BN64" s="42"/>
      <c r="BO64" s="42"/>
      <c r="BP64" s="42"/>
      <c r="BQ64" s="42"/>
      <c r="BR64" s="42"/>
      <c r="BS64" s="42"/>
    </row>
    <row r="65" spans="2:71" ht="12.75" hidden="1">
      <c r="B65" s="10"/>
      <c r="C65" s="10" t="s">
        <v>92</v>
      </c>
      <c r="D65" s="193"/>
      <c r="E65" s="193"/>
      <c r="F65" s="193"/>
      <c r="G65" s="39" t="s">
        <v>254</v>
      </c>
      <c r="H65" s="10"/>
      <c r="I65" s="10"/>
      <c r="J65" s="10"/>
      <c r="K65" s="10"/>
      <c r="L65" s="10"/>
      <c r="M65" s="10"/>
      <c r="N65" s="10"/>
      <c r="O65" s="74"/>
      <c r="P65" s="74"/>
      <c r="Q65" s="74"/>
      <c r="R65" s="18"/>
      <c r="S65" s="74"/>
      <c r="T65" s="86"/>
      <c r="U65" s="86"/>
      <c r="V65" s="74"/>
      <c r="W65" s="74"/>
      <c r="X65" s="74"/>
      <c r="Y65" s="74"/>
      <c r="Z65" s="74"/>
      <c r="AB65" s="42"/>
      <c r="AC65" s="42"/>
      <c r="AD65" s="42"/>
      <c r="AE65" s="42"/>
      <c r="AF65" s="79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42"/>
      <c r="AR65" s="42"/>
      <c r="AS65" s="42"/>
      <c r="AT65" s="42"/>
      <c r="AU65" s="42"/>
      <c r="AV65" s="42"/>
      <c r="AW65" s="42"/>
      <c r="AX65" s="42"/>
      <c r="AY65" s="74"/>
      <c r="AZ65" s="79"/>
      <c r="BA65" s="74"/>
      <c r="BB65" s="74"/>
      <c r="BC65" s="74"/>
      <c r="BD65" s="74"/>
      <c r="BE65" s="74"/>
      <c r="BF65" s="74"/>
      <c r="BG65" s="74"/>
      <c r="BH65" s="74"/>
      <c r="BI65" s="74"/>
      <c r="BJ65" s="79"/>
      <c r="BK65" s="42"/>
      <c r="BL65" s="42"/>
      <c r="BM65" s="42"/>
      <c r="BN65" s="42"/>
      <c r="BO65" s="42"/>
      <c r="BP65" s="42"/>
      <c r="BQ65" s="42"/>
      <c r="BR65" s="42"/>
      <c r="BS65" s="42"/>
    </row>
    <row r="66" spans="2:71" ht="12.75" hidden="1">
      <c r="B66" s="10"/>
      <c r="C66" s="10" t="s">
        <v>93</v>
      </c>
      <c r="D66" s="193"/>
      <c r="E66" s="193"/>
      <c r="F66" s="193"/>
      <c r="G66" s="39" t="s">
        <v>255</v>
      </c>
      <c r="H66" s="10"/>
      <c r="I66" s="10"/>
      <c r="J66" s="10"/>
      <c r="K66" s="10"/>
      <c r="L66" s="10"/>
      <c r="M66" s="10"/>
      <c r="N66" s="10"/>
      <c r="O66" s="74"/>
      <c r="P66" s="74"/>
      <c r="Q66" s="74"/>
      <c r="R66" s="18"/>
      <c r="S66" s="74"/>
      <c r="T66" s="86"/>
      <c r="U66" s="86"/>
      <c r="V66" s="74"/>
      <c r="W66" s="74"/>
      <c r="X66" s="74"/>
      <c r="Y66" s="74"/>
      <c r="Z66" s="74"/>
      <c r="AB66" s="42"/>
      <c r="AC66" s="42"/>
      <c r="AD66" s="42"/>
      <c r="AE66" s="42"/>
      <c r="AF66" s="79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42"/>
      <c r="AR66" s="42"/>
      <c r="AS66" s="42"/>
      <c r="AT66" s="42"/>
      <c r="AU66" s="42"/>
      <c r="AV66" s="42"/>
      <c r="AW66" s="42"/>
      <c r="AX66" s="42"/>
      <c r="AY66" s="74"/>
      <c r="AZ66" s="79"/>
      <c r="BA66" s="74"/>
      <c r="BB66" s="74"/>
      <c r="BC66" s="74"/>
      <c r="BD66" s="74"/>
      <c r="BE66" s="74"/>
      <c r="BF66" s="74"/>
      <c r="BG66" s="74"/>
      <c r="BH66" s="74"/>
      <c r="BI66" s="74"/>
      <c r="BJ66" s="79"/>
      <c r="BK66" s="42"/>
      <c r="BL66" s="42"/>
      <c r="BM66" s="42"/>
      <c r="BN66" s="42"/>
      <c r="BO66" s="42"/>
      <c r="BP66" s="42"/>
      <c r="BQ66" s="42"/>
      <c r="BR66" s="42"/>
      <c r="BS66" s="42"/>
    </row>
    <row r="67" spans="2:71" ht="12.75" hidden="1">
      <c r="B67" s="10"/>
      <c r="C67" s="10" t="s">
        <v>94</v>
      </c>
      <c r="D67" s="193"/>
      <c r="E67" s="193"/>
      <c r="F67" s="193"/>
      <c r="G67" s="39" t="s">
        <v>26</v>
      </c>
      <c r="H67" s="10"/>
      <c r="I67" s="10"/>
      <c r="J67" s="10"/>
      <c r="K67" s="10"/>
      <c r="L67" s="10"/>
      <c r="M67" s="10"/>
      <c r="N67" s="10"/>
      <c r="O67" s="74"/>
      <c r="P67" s="74"/>
      <c r="Q67" s="74"/>
      <c r="R67" s="18"/>
      <c r="S67" s="74"/>
      <c r="T67" s="86"/>
      <c r="U67" s="86"/>
      <c r="V67" s="74"/>
      <c r="W67" s="74"/>
      <c r="X67" s="74"/>
      <c r="Y67" s="74"/>
      <c r="Z67" s="74"/>
      <c r="AB67" s="42"/>
      <c r="AC67" s="42"/>
      <c r="AD67" s="42"/>
      <c r="AE67" s="42"/>
      <c r="AF67" s="79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42"/>
      <c r="AR67" s="42"/>
      <c r="AS67" s="42"/>
      <c r="AT67" s="42"/>
      <c r="AU67" s="42"/>
      <c r="AV67" s="42"/>
      <c r="AW67" s="42"/>
      <c r="AX67" s="42"/>
      <c r="AY67" s="74"/>
      <c r="AZ67" s="79"/>
      <c r="BA67" s="74"/>
      <c r="BB67" s="74"/>
      <c r="BC67" s="74"/>
      <c r="BD67" s="74"/>
      <c r="BE67" s="74"/>
      <c r="BF67" s="74"/>
      <c r="BG67" s="74"/>
      <c r="BH67" s="74"/>
      <c r="BI67" s="74"/>
      <c r="BJ67" s="79"/>
      <c r="BK67" s="42"/>
      <c r="BL67" s="42"/>
      <c r="BM67" s="42"/>
      <c r="BN67" s="42"/>
      <c r="BO67" s="42"/>
      <c r="BP67" s="42"/>
      <c r="BQ67" s="42"/>
      <c r="BR67" s="42"/>
      <c r="BS67" s="42"/>
    </row>
    <row r="68" spans="2:71" ht="12.75" hidden="1">
      <c r="B68" s="10"/>
      <c r="C68" s="10" t="s">
        <v>13</v>
      </c>
      <c r="D68" s="193"/>
      <c r="E68" s="193"/>
      <c r="F68" s="193"/>
      <c r="G68" s="39" t="s">
        <v>129</v>
      </c>
      <c r="H68" s="10"/>
      <c r="I68" s="10"/>
      <c r="J68" s="10"/>
      <c r="K68" s="10"/>
      <c r="L68" s="10"/>
      <c r="M68" s="10"/>
      <c r="N68" s="10"/>
      <c r="O68" s="74"/>
      <c r="P68" s="74"/>
      <c r="Q68" s="74"/>
      <c r="R68" s="18"/>
      <c r="S68" s="74"/>
      <c r="T68" s="86"/>
      <c r="U68" s="86"/>
      <c r="V68" s="74"/>
      <c r="W68" s="74"/>
      <c r="X68" s="74"/>
      <c r="Y68" s="74"/>
      <c r="Z68" s="74"/>
      <c r="AB68" s="42"/>
      <c r="AC68" s="42"/>
      <c r="AD68" s="42"/>
      <c r="AE68" s="42"/>
      <c r="AF68" s="79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42"/>
      <c r="AR68" s="42"/>
      <c r="AS68" s="42"/>
      <c r="AT68" s="42"/>
      <c r="AU68" s="42"/>
      <c r="AV68" s="42"/>
      <c r="AW68" s="42"/>
      <c r="AX68" s="42"/>
      <c r="AY68" s="74"/>
      <c r="AZ68" s="79"/>
      <c r="BA68" s="74"/>
      <c r="BB68" s="74"/>
      <c r="BC68" s="74"/>
      <c r="BD68" s="74"/>
      <c r="BE68" s="74"/>
      <c r="BF68" s="74"/>
      <c r="BG68" s="74"/>
      <c r="BH68" s="74"/>
      <c r="BI68" s="74"/>
      <c r="BJ68" s="79"/>
      <c r="BK68" s="42"/>
      <c r="BL68" s="42"/>
      <c r="BM68" s="42"/>
      <c r="BN68" s="42"/>
      <c r="BO68" s="42"/>
      <c r="BP68" s="42"/>
      <c r="BQ68" s="42"/>
      <c r="BR68" s="42"/>
      <c r="BS68" s="42"/>
    </row>
    <row r="69" spans="2:71" ht="12.75" hidden="1">
      <c r="B69" s="10"/>
      <c r="C69" s="10" t="s">
        <v>95</v>
      </c>
      <c r="D69" s="193"/>
      <c r="E69" s="193"/>
      <c r="F69" s="193"/>
      <c r="G69" s="39"/>
      <c r="H69" s="10"/>
      <c r="I69" s="10"/>
      <c r="J69" s="10"/>
      <c r="K69" s="10"/>
      <c r="L69" s="10"/>
      <c r="M69" s="10"/>
      <c r="N69" s="10"/>
      <c r="O69" s="74"/>
      <c r="P69" s="74"/>
      <c r="Q69" s="74"/>
      <c r="R69" s="18"/>
      <c r="S69" s="74"/>
      <c r="T69" s="86"/>
      <c r="U69" s="86"/>
      <c r="V69" s="74"/>
      <c r="W69" s="74"/>
      <c r="X69" s="74"/>
      <c r="Y69" s="74"/>
      <c r="Z69" s="74"/>
      <c r="AB69" s="42"/>
      <c r="AC69" s="42"/>
      <c r="AD69" s="42"/>
      <c r="AE69" s="42"/>
      <c r="AF69" s="79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42"/>
      <c r="AR69" s="42"/>
      <c r="AS69" s="42"/>
      <c r="AT69" s="42"/>
      <c r="AU69" s="42"/>
      <c r="AV69" s="42"/>
      <c r="AW69" s="42"/>
      <c r="AX69" s="42"/>
      <c r="AY69" s="74"/>
      <c r="AZ69" s="79"/>
      <c r="BA69" s="74"/>
      <c r="BB69" s="74"/>
      <c r="BC69" s="74"/>
      <c r="BD69" s="74"/>
      <c r="BE69" s="74"/>
      <c r="BF69" s="74"/>
      <c r="BG69" s="74"/>
      <c r="BH69" s="74"/>
      <c r="BI69" s="74"/>
      <c r="BJ69" s="79"/>
      <c r="BK69" s="42"/>
      <c r="BL69" s="42"/>
      <c r="BM69" s="42"/>
      <c r="BN69" s="42"/>
      <c r="BO69" s="42"/>
      <c r="BP69" s="42"/>
      <c r="BQ69" s="42"/>
      <c r="BR69" s="42"/>
      <c r="BS69" s="42"/>
    </row>
    <row r="70" spans="2:71" ht="12.75" hidden="1">
      <c r="B70" s="10"/>
      <c r="C70" s="10" t="s">
        <v>96</v>
      </c>
      <c r="D70" s="193"/>
      <c r="E70" s="193"/>
      <c r="F70" s="193"/>
      <c r="G70" s="39"/>
      <c r="H70" s="10"/>
      <c r="I70" s="10"/>
      <c r="J70" s="10"/>
      <c r="K70" s="10"/>
      <c r="L70" s="10"/>
      <c r="M70" s="10"/>
      <c r="N70" s="10"/>
      <c r="O70" s="74"/>
      <c r="P70" s="74"/>
      <c r="Q70" s="74"/>
      <c r="R70" s="18"/>
      <c r="S70" s="74"/>
      <c r="T70" s="86"/>
      <c r="U70" s="86"/>
      <c r="V70" s="74"/>
      <c r="W70" s="74"/>
      <c r="X70" s="74"/>
      <c r="Y70" s="74"/>
      <c r="Z70" s="74"/>
      <c r="AB70" s="42"/>
      <c r="AC70" s="42"/>
      <c r="AD70" s="42"/>
      <c r="AE70" s="42"/>
      <c r="AF70" s="79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42"/>
      <c r="AR70" s="42"/>
      <c r="AS70" s="42"/>
      <c r="AT70" s="42"/>
      <c r="AU70" s="42"/>
      <c r="AV70" s="42"/>
      <c r="AW70" s="42"/>
      <c r="AX70" s="42"/>
      <c r="AY70" s="74"/>
      <c r="AZ70" s="79"/>
      <c r="BA70" s="74"/>
      <c r="BB70" s="74"/>
      <c r="BC70" s="74"/>
      <c r="BD70" s="74"/>
      <c r="BE70" s="74"/>
      <c r="BF70" s="74"/>
      <c r="BG70" s="74"/>
      <c r="BH70" s="74"/>
      <c r="BI70" s="74"/>
      <c r="BJ70" s="79"/>
      <c r="BK70" s="42"/>
      <c r="BL70" s="42"/>
      <c r="BM70" s="42"/>
      <c r="BN70" s="42"/>
      <c r="BO70" s="42"/>
      <c r="BP70" s="42"/>
      <c r="BQ70" s="42"/>
      <c r="BR70" s="42"/>
      <c r="BS70" s="42"/>
    </row>
    <row r="71" spans="2:71" ht="12.75" hidden="1">
      <c r="B71" s="10"/>
      <c r="C71" s="10" t="s">
        <v>97</v>
      </c>
      <c r="D71" s="193"/>
      <c r="E71" s="193"/>
      <c r="F71" s="193"/>
      <c r="G71" s="39"/>
      <c r="H71" s="10"/>
      <c r="I71" s="10"/>
      <c r="J71" s="10"/>
      <c r="K71" s="10"/>
      <c r="L71" s="10"/>
      <c r="M71" s="10"/>
      <c r="N71" s="10"/>
      <c r="O71" s="74"/>
      <c r="P71" s="74"/>
      <c r="Q71" s="74"/>
      <c r="R71" s="18"/>
      <c r="S71" s="74"/>
      <c r="T71" s="86"/>
      <c r="U71" s="86"/>
      <c r="V71" s="74"/>
      <c r="W71" s="74"/>
      <c r="X71" s="74"/>
      <c r="Y71" s="74"/>
      <c r="Z71" s="74"/>
      <c r="AB71" s="42"/>
      <c r="AC71" s="42"/>
      <c r="AD71" s="42"/>
      <c r="AE71" s="42"/>
      <c r="AF71" s="79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42"/>
      <c r="AR71" s="42"/>
      <c r="AS71" s="42"/>
      <c r="AT71" s="42"/>
      <c r="AU71" s="42"/>
      <c r="AV71" s="42"/>
      <c r="AW71" s="42"/>
      <c r="AX71" s="42"/>
      <c r="AY71" s="74"/>
      <c r="AZ71" s="79"/>
      <c r="BA71" s="74"/>
      <c r="BB71" s="74"/>
      <c r="BC71" s="74"/>
      <c r="BD71" s="74"/>
      <c r="BE71" s="74"/>
      <c r="BF71" s="74"/>
      <c r="BG71" s="74"/>
      <c r="BH71" s="74"/>
      <c r="BI71" s="74"/>
      <c r="BJ71" s="79"/>
      <c r="BK71" s="42"/>
      <c r="BL71" s="42"/>
      <c r="BM71" s="42"/>
      <c r="BN71" s="42"/>
      <c r="BO71" s="42"/>
      <c r="BP71" s="42"/>
      <c r="BQ71" s="42"/>
      <c r="BR71" s="42"/>
      <c r="BS71" s="42"/>
    </row>
    <row r="72" spans="2:71" ht="12.75" hidden="1">
      <c r="B72" s="10"/>
      <c r="C72" s="10" t="s">
        <v>14</v>
      </c>
      <c r="D72" s="193"/>
      <c r="E72" s="193"/>
      <c r="F72" s="193"/>
      <c r="G72" s="39"/>
      <c r="H72" s="10"/>
      <c r="I72" s="10"/>
      <c r="J72" s="10"/>
      <c r="K72" s="10"/>
      <c r="L72" s="10"/>
      <c r="M72" s="10"/>
      <c r="N72" s="10"/>
      <c r="O72" s="74"/>
      <c r="P72" s="74"/>
      <c r="Q72" s="74"/>
      <c r="R72" s="18"/>
      <c r="S72" s="74"/>
      <c r="T72" s="86"/>
      <c r="U72" s="86"/>
      <c r="V72" s="74"/>
      <c r="W72" s="74"/>
      <c r="X72" s="74"/>
      <c r="Y72" s="74"/>
      <c r="Z72" s="74"/>
      <c r="AB72" s="42"/>
      <c r="AC72" s="42"/>
      <c r="AD72" s="42"/>
      <c r="AE72" s="42"/>
      <c r="AF72" s="79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42"/>
      <c r="AR72" s="42"/>
      <c r="AS72" s="42"/>
      <c r="AT72" s="42"/>
      <c r="AU72" s="42"/>
      <c r="AV72" s="42"/>
      <c r="AW72" s="42"/>
      <c r="AX72" s="42"/>
      <c r="AY72" s="74"/>
      <c r="AZ72" s="79"/>
      <c r="BA72" s="74"/>
      <c r="BB72" s="74"/>
      <c r="BC72" s="74"/>
      <c r="BD72" s="74"/>
      <c r="BE72" s="74"/>
      <c r="BF72" s="74"/>
      <c r="BG72" s="74"/>
      <c r="BH72" s="74"/>
      <c r="BI72" s="74"/>
      <c r="BJ72" s="79"/>
      <c r="BK72" s="42"/>
      <c r="BL72" s="42"/>
      <c r="BM72" s="42"/>
      <c r="BN72" s="42"/>
      <c r="BO72" s="42"/>
      <c r="BP72" s="42"/>
      <c r="BQ72" s="42"/>
      <c r="BR72" s="42"/>
      <c r="BS72" s="42"/>
    </row>
    <row r="73" spans="2:71" ht="12.75" hidden="1">
      <c r="B73" s="10"/>
      <c r="C73" s="10" t="s">
        <v>98</v>
      </c>
      <c r="D73" s="193"/>
      <c r="E73" s="193"/>
      <c r="F73" s="193"/>
      <c r="G73" s="39"/>
      <c r="H73" s="10"/>
      <c r="I73" s="10"/>
      <c r="J73" s="10"/>
      <c r="K73" s="10"/>
      <c r="L73" s="10"/>
      <c r="M73" s="10"/>
      <c r="N73" s="10"/>
      <c r="O73" s="74"/>
      <c r="P73" s="74"/>
      <c r="Q73" s="74"/>
      <c r="R73" s="18"/>
      <c r="S73" s="74"/>
      <c r="T73" s="86"/>
      <c r="U73" s="86"/>
      <c r="V73" s="74"/>
      <c r="W73" s="74"/>
      <c r="X73" s="74"/>
      <c r="Y73" s="74"/>
      <c r="Z73" s="74"/>
      <c r="AB73" s="42"/>
      <c r="AC73" s="42"/>
      <c r="AD73" s="42"/>
      <c r="AE73" s="42"/>
      <c r="AF73" s="79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42"/>
      <c r="AR73" s="42"/>
      <c r="AS73" s="42"/>
      <c r="AT73" s="42"/>
      <c r="AU73" s="42"/>
      <c r="AV73" s="42"/>
      <c r="AW73" s="42"/>
      <c r="AX73" s="42"/>
      <c r="AY73" s="74"/>
      <c r="AZ73" s="79"/>
      <c r="BA73" s="74"/>
      <c r="BB73" s="74"/>
      <c r="BC73" s="74"/>
      <c r="BD73" s="74"/>
      <c r="BE73" s="74"/>
      <c r="BF73" s="74"/>
      <c r="BG73" s="74"/>
      <c r="BH73" s="74"/>
      <c r="BI73" s="74"/>
      <c r="BJ73" s="79"/>
      <c r="BK73" s="42"/>
      <c r="BL73" s="42"/>
      <c r="BM73" s="42"/>
      <c r="BN73" s="42"/>
      <c r="BO73" s="42"/>
      <c r="BP73" s="42"/>
      <c r="BQ73" s="42"/>
      <c r="BR73" s="42"/>
      <c r="BS73" s="42"/>
    </row>
    <row r="74" spans="2:71" ht="12.75" hidden="1">
      <c r="B74" s="10"/>
      <c r="C74" s="10" t="s">
        <v>99</v>
      </c>
      <c r="D74" s="193"/>
      <c r="E74" s="193"/>
      <c r="F74" s="193"/>
      <c r="G74" s="39"/>
      <c r="H74" s="10"/>
      <c r="I74" s="10"/>
      <c r="J74" s="10"/>
      <c r="K74" s="10"/>
      <c r="L74" s="10"/>
      <c r="M74" s="10"/>
      <c r="N74" s="10"/>
      <c r="O74" s="74"/>
      <c r="P74" s="74"/>
      <c r="Q74" s="74"/>
      <c r="R74" s="18"/>
      <c r="S74" s="74"/>
      <c r="T74" s="86"/>
      <c r="U74" s="86"/>
      <c r="V74" s="74"/>
      <c r="W74" s="74"/>
      <c r="X74" s="74"/>
      <c r="Y74" s="74"/>
      <c r="Z74" s="74"/>
      <c r="AB74" s="42"/>
      <c r="AC74" s="42"/>
      <c r="AD74" s="42"/>
      <c r="AE74" s="42"/>
      <c r="AF74" s="79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42"/>
      <c r="AR74" s="42"/>
      <c r="AS74" s="42"/>
      <c r="AT74" s="42"/>
      <c r="AU74" s="42"/>
      <c r="AV74" s="42"/>
      <c r="AW74" s="42"/>
      <c r="AX74" s="42"/>
      <c r="AY74" s="74"/>
      <c r="AZ74" s="79"/>
      <c r="BA74" s="74"/>
      <c r="BB74" s="74"/>
      <c r="BC74" s="74"/>
      <c r="BD74" s="74"/>
      <c r="BE74" s="74"/>
      <c r="BF74" s="74"/>
      <c r="BG74" s="74"/>
      <c r="BH74" s="74"/>
      <c r="BI74" s="74"/>
      <c r="BJ74" s="79"/>
      <c r="BK74" s="42"/>
      <c r="BL74" s="42"/>
      <c r="BM74" s="42"/>
      <c r="BN74" s="42"/>
      <c r="BO74" s="42"/>
      <c r="BP74" s="42"/>
      <c r="BQ74" s="42"/>
      <c r="BR74" s="42"/>
      <c r="BS74" s="42"/>
    </row>
    <row r="75" spans="2:71" ht="12.75" hidden="1">
      <c r="B75" s="10"/>
      <c r="C75" s="10" t="s">
        <v>100</v>
      </c>
      <c r="D75" s="193"/>
      <c r="E75" s="193"/>
      <c r="F75" s="193"/>
      <c r="G75" s="39"/>
      <c r="H75" s="10"/>
      <c r="I75" s="10"/>
      <c r="J75" s="10"/>
      <c r="K75" s="10"/>
      <c r="L75" s="10"/>
      <c r="M75" s="10"/>
      <c r="N75" s="10"/>
      <c r="O75" s="74"/>
      <c r="P75" s="74"/>
      <c r="Q75" s="74"/>
      <c r="R75" s="18"/>
      <c r="S75" s="74"/>
      <c r="T75" s="86"/>
      <c r="U75" s="86"/>
      <c r="V75" s="74"/>
      <c r="W75" s="74"/>
      <c r="X75" s="74"/>
      <c r="Y75" s="74"/>
      <c r="Z75" s="74"/>
      <c r="AB75" s="42"/>
      <c r="AC75" s="42"/>
      <c r="AD75" s="42"/>
      <c r="AE75" s="42"/>
      <c r="AF75" s="79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42"/>
      <c r="AR75" s="42"/>
      <c r="AS75" s="42"/>
      <c r="AT75" s="42"/>
      <c r="AU75" s="42"/>
      <c r="AV75" s="42"/>
      <c r="AW75" s="42"/>
      <c r="AX75" s="42"/>
      <c r="AY75" s="74"/>
      <c r="AZ75" s="79"/>
      <c r="BA75" s="74"/>
      <c r="BB75" s="74"/>
      <c r="BC75" s="74"/>
      <c r="BD75" s="74"/>
      <c r="BE75" s="74"/>
      <c r="BF75" s="74"/>
      <c r="BG75" s="74"/>
      <c r="BH75" s="74"/>
      <c r="BI75" s="74"/>
      <c r="BJ75" s="79"/>
      <c r="BK75" s="42"/>
      <c r="BL75" s="42"/>
      <c r="BM75" s="42"/>
      <c r="BN75" s="42"/>
      <c r="BO75" s="42"/>
      <c r="BP75" s="42"/>
      <c r="BQ75" s="42"/>
      <c r="BR75" s="42"/>
      <c r="BS75" s="42"/>
    </row>
    <row r="76" spans="2:71" ht="12.75" hidden="1">
      <c r="B76" s="10"/>
      <c r="C76" s="10" t="s">
        <v>105</v>
      </c>
      <c r="D76" s="193"/>
      <c r="E76" s="193"/>
      <c r="F76" s="193"/>
      <c r="G76" s="39"/>
      <c r="H76" s="10"/>
      <c r="I76" s="10"/>
      <c r="J76" s="10"/>
      <c r="K76" s="10"/>
      <c r="L76" s="10"/>
      <c r="M76" s="10"/>
      <c r="N76" s="10"/>
      <c r="O76" s="74"/>
      <c r="P76" s="74"/>
      <c r="Q76" s="74"/>
      <c r="R76" s="18"/>
      <c r="S76" s="74"/>
      <c r="T76" s="86"/>
      <c r="U76" s="86"/>
      <c r="V76" s="74"/>
      <c r="W76" s="74"/>
      <c r="X76" s="74"/>
      <c r="Y76" s="74"/>
      <c r="Z76" s="74"/>
      <c r="AB76" s="42"/>
      <c r="AC76" s="42"/>
      <c r="AD76" s="42"/>
      <c r="AE76" s="42"/>
      <c r="AF76" s="79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42"/>
      <c r="AR76" s="42"/>
      <c r="AS76" s="42"/>
      <c r="AT76" s="42"/>
      <c r="AU76" s="42"/>
      <c r="AV76" s="42"/>
      <c r="AW76" s="42"/>
      <c r="AX76" s="42"/>
      <c r="AY76" s="74"/>
      <c r="AZ76" s="79"/>
      <c r="BA76" s="74"/>
      <c r="BB76" s="74"/>
      <c r="BC76" s="74"/>
      <c r="BD76" s="74"/>
      <c r="BE76" s="74"/>
      <c r="BF76" s="74"/>
      <c r="BG76" s="74"/>
      <c r="BH76" s="74"/>
      <c r="BI76" s="74"/>
      <c r="BJ76" s="79"/>
      <c r="BK76" s="42"/>
      <c r="BL76" s="42"/>
      <c r="BM76" s="42"/>
      <c r="BN76" s="42"/>
      <c r="BO76" s="42"/>
      <c r="BP76" s="42"/>
      <c r="BQ76" s="42"/>
      <c r="BR76" s="42"/>
      <c r="BS76" s="42"/>
    </row>
    <row r="77" spans="2:71" ht="12.75" hidden="1">
      <c r="B77" s="10"/>
      <c r="C77" s="10" t="s">
        <v>101</v>
      </c>
      <c r="D77" s="193"/>
      <c r="E77" s="193"/>
      <c r="F77" s="193"/>
      <c r="G77" s="39"/>
      <c r="H77" s="10"/>
      <c r="I77" s="10"/>
      <c r="J77" s="10"/>
      <c r="K77" s="10"/>
      <c r="L77" s="10"/>
      <c r="M77" s="10"/>
      <c r="N77" s="10"/>
      <c r="O77" s="74"/>
      <c r="P77" s="74"/>
      <c r="Q77" s="74"/>
      <c r="R77" s="18"/>
      <c r="S77" s="74"/>
      <c r="T77" s="86"/>
      <c r="U77" s="86"/>
      <c r="V77" s="74"/>
      <c r="W77" s="74"/>
      <c r="X77" s="74"/>
      <c r="Y77" s="74"/>
      <c r="Z77" s="74"/>
      <c r="AB77" s="42"/>
      <c r="AC77" s="42"/>
      <c r="AD77" s="42"/>
      <c r="AE77" s="42"/>
      <c r="AF77" s="79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42"/>
      <c r="AR77" s="42"/>
      <c r="AS77" s="42"/>
      <c r="AT77" s="42"/>
      <c r="AU77" s="42"/>
      <c r="AV77" s="42"/>
      <c r="AW77" s="42"/>
      <c r="AX77" s="42"/>
      <c r="AY77" s="74"/>
      <c r="AZ77" s="79"/>
      <c r="BA77" s="74"/>
      <c r="BB77" s="74"/>
      <c r="BC77" s="74"/>
      <c r="BD77" s="74"/>
      <c r="BE77" s="74"/>
      <c r="BF77" s="74"/>
      <c r="BG77" s="74"/>
      <c r="BH77" s="74"/>
      <c r="BI77" s="74"/>
      <c r="BJ77" s="79"/>
      <c r="BK77" s="42"/>
      <c r="BL77" s="42"/>
      <c r="BM77" s="42"/>
      <c r="BN77" s="42"/>
      <c r="BO77" s="42"/>
      <c r="BP77" s="42"/>
      <c r="BQ77" s="42"/>
      <c r="BR77" s="42"/>
      <c r="BS77" s="42"/>
    </row>
    <row r="78" spans="2:71" ht="12.75" hidden="1">
      <c r="B78" s="10"/>
      <c r="C78" s="10" t="s">
        <v>102</v>
      </c>
      <c r="D78" s="193"/>
      <c r="E78" s="193"/>
      <c r="F78" s="193"/>
      <c r="G78" s="39"/>
      <c r="H78" s="10"/>
      <c r="I78" s="10"/>
      <c r="J78" s="10"/>
      <c r="K78" s="10"/>
      <c r="L78" s="10"/>
      <c r="M78" s="10"/>
      <c r="N78" s="10"/>
      <c r="O78" s="74"/>
      <c r="P78" s="74"/>
      <c r="Q78" s="74"/>
      <c r="R78" s="18"/>
      <c r="S78" s="74"/>
      <c r="T78" s="86"/>
      <c r="U78" s="86"/>
      <c r="V78" s="74"/>
      <c r="W78" s="74"/>
      <c r="X78" s="74"/>
      <c r="Y78" s="74"/>
      <c r="Z78" s="74"/>
      <c r="AB78" s="42"/>
      <c r="AC78" s="42"/>
      <c r="AD78" s="42"/>
      <c r="AE78" s="42"/>
      <c r="AF78" s="79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42"/>
      <c r="AR78" s="42"/>
      <c r="AS78" s="42"/>
      <c r="AT78" s="42"/>
      <c r="AU78" s="42"/>
      <c r="AV78" s="42"/>
      <c r="AW78" s="42"/>
      <c r="AX78" s="42"/>
      <c r="AY78" s="74"/>
      <c r="AZ78" s="79"/>
      <c r="BA78" s="74"/>
      <c r="BB78" s="74"/>
      <c r="BC78" s="74"/>
      <c r="BD78" s="74"/>
      <c r="BE78" s="74"/>
      <c r="BF78" s="74"/>
      <c r="BG78" s="74"/>
      <c r="BH78" s="74"/>
      <c r="BI78" s="74"/>
      <c r="BJ78" s="79"/>
      <c r="BK78" s="42"/>
      <c r="BL78" s="42"/>
      <c r="BM78" s="42"/>
      <c r="BN78" s="42"/>
      <c r="BO78" s="42"/>
      <c r="BP78" s="42"/>
      <c r="BQ78" s="42"/>
      <c r="BR78" s="42"/>
      <c r="BS78" s="42"/>
    </row>
    <row r="79" spans="2:71" ht="12.75" hidden="1">
      <c r="B79" s="10"/>
      <c r="C79" s="10" t="s">
        <v>103</v>
      </c>
      <c r="D79" s="193"/>
      <c r="E79" s="193"/>
      <c r="F79" s="193"/>
      <c r="G79" s="39"/>
      <c r="H79" s="10"/>
      <c r="I79" s="10"/>
      <c r="J79" s="10"/>
      <c r="K79" s="10"/>
      <c r="L79" s="10"/>
      <c r="M79" s="10"/>
      <c r="N79" s="10"/>
      <c r="O79" s="74"/>
      <c r="P79" s="74"/>
      <c r="Q79" s="74"/>
      <c r="R79" s="18"/>
      <c r="S79" s="74"/>
      <c r="T79" s="86"/>
      <c r="U79" s="86"/>
      <c r="V79" s="74"/>
      <c r="W79" s="74"/>
      <c r="X79" s="74"/>
      <c r="Y79" s="74"/>
      <c r="Z79" s="74"/>
      <c r="AB79" s="42"/>
      <c r="AC79" s="42"/>
      <c r="AD79" s="42"/>
      <c r="AE79" s="42"/>
      <c r="AF79" s="79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42"/>
      <c r="AR79" s="42"/>
      <c r="AS79" s="42"/>
      <c r="AT79" s="42"/>
      <c r="AU79" s="42"/>
      <c r="AV79" s="42"/>
      <c r="AW79" s="42"/>
      <c r="AX79" s="42"/>
      <c r="AY79" s="74"/>
      <c r="AZ79" s="79"/>
      <c r="BA79" s="74"/>
      <c r="BB79" s="74"/>
      <c r="BC79" s="74"/>
      <c r="BD79" s="74"/>
      <c r="BE79" s="74"/>
      <c r="BF79" s="74"/>
      <c r="BG79" s="74"/>
      <c r="BH79" s="74"/>
      <c r="BI79" s="74"/>
      <c r="BJ79" s="79"/>
      <c r="BK79" s="42"/>
      <c r="BL79" s="42"/>
      <c r="BM79" s="42"/>
      <c r="BN79" s="42"/>
      <c r="BO79" s="42"/>
      <c r="BP79" s="42"/>
      <c r="BQ79" s="42"/>
      <c r="BR79" s="42"/>
      <c r="BS79" s="42"/>
    </row>
    <row r="80" spans="2:71" ht="12.75" hidden="1">
      <c r="B80" s="10"/>
      <c r="C80" s="10" t="s">
        <v>104</v>
      </c>
      <c r="D80" s="193"/>
      <c r="E80" s="193"/>
      <c r="F80" s="193"/>
      <c r="G80" s="39"/>
      <c r="H80" s="10"/>
      <c r="I80" s="10"/>
      <c r="J80" s="10"/>
      <c r="K80" s="10"/>
      <c r="L80" s="10"/>
      <c r="M80" s="10"/>
      <c r="N80" s="10"/>
      <c r="O80" s="74"/>
      <c r="P80" s="74"/>
      <c r="Q80" s="74"/>
      <c r="R80" s="18"/>
      <c r="S80" s="74"/>
      <c r="T80" s="86"/>
      <c r="U80" s="86"/>
      <c r="V80" s="74"/>
      <c r="W80" s="74"/>
      <c r="X80" s="74"/>
      <c r="Y80" s="74"/>
      <c r="Z80" s="74"/>
      <c r="AB80" s="42"/>
      <c r="AC80" s="42"/>
      <c r="AD80" s="42"/>
      <c r="AE80" s="42"/>
      <c r="AF80" s="79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42"/>
      <c r="AR80" s="42"/>
      <c r="AS80" s="42"/>
      <c r="AT80" s="42"/>
      <c r="AU80" s="42"/>
      <c r="AV80" s="42"/>
      <c r="AW80" s="42"/>
      <c r="AX80" s="42"/>
      <c r="AY80" s="74"/>
      <c r="AZ80" s="79"/>
      <c r="BA80" s="74"/>
      <c r="BB80" s="74"/>
      <c r="BC80" s="74"/>
      <c r="BD80" s="74"/>
      <c r="BE80" s="74"/>
      <c r="BF80" s="74"/>
      <c r="BG80" s="74"/>
      <c r="BH80" s="74"/>
      <c r="BI80" s="74"/>
      <c r="BJ80" s="79"/>
      <c r="BK80" s="42"/>
      <c r="BL80" s="42"/>
      <c r="BM80" s="42"/>
      <c r="BN80" s="42"/>
      <c r="BO80" s="42"/>
      <c r="BP80" s="42"/>
      <c r="BQ80" s="42"/>
      <c r="BR80" s="42"/>
      <c r="BS80" s="42"/>
    </row>
    <row r="81" spans="2:71" ht="12.75" hidden="1">
      <c r="B81" s="10"/>
      <c r="C81" s="10" t="s">
        <v>262</v>
      </c>
      <c r="D81" s="193"/>
      <c r="E81" s="193"/>
      <c r="F81" s="193"/>
      <c r="G81" s="39"/>
      <c r="H81" s="10"/>
      <c r="I81" s="10"/>
      <c r="J81" s="10"/>
      <c r="K81" s="10"/>
      <c r="L81" s="10"/>
      <c r="M81" s="10"/>
      <c r="N81" s="10"/>
      <c r="O81" s="74"/>
      <c r="P81" s="74"/>
      <c r="Q81" s="74"/>
      <c r="R81" s="18"/>
      <c r="S81" s="74"/>
      <c r="T81" s="86"/>
      <c r="U81" s="86"/>
      <c r="V81" s="74"/>
      <c r="W81" s="74"/>
      <c r="X81" s="74"/>
      <c r="Y81" s="74"/>
      <c r="Z81" s="74"/>
      <c r="AB81" s="42"/>
      <c r="AC81" s="42"/>
      <c r="AD81" s="42"/>
      <c r="AE81" s="42"/>
      <c r="AF81" s="79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42"/>
      <c r="AR81" s="42"/>
      <c r="AS81" s="42"/>
      <c r="AT81" s="42"/>
      <c r="AU81" s="42"/>
      <c r="AV81" s="42"/>
      <c r="AW81" s="42"/>
      <c r="AX81" s="42"/>
      <c r="AY81" s="74"/>
      <c r="AZ81" s="79"/>
      <c r="BA81" s="74"/>
      <c r="BB81" s="74"/>
      <c r="BC81" s="74"/>
      <c r="BD81" s="74"/>
      <c r="BE81" s="74"/>
      <c r="BF81" s="74"/>
      <c r="BG81" s="74"/>
      <c r="BH81" s="74"/>
      <c r="BI81" s="74"/>
      <c r="BJ81" s="79"/>
      <c r="BK81" s="42"/>
      <c r="BL81" s="42"/>
      <c r="BM81" s="42"/>
      <c r="BN81" s="42"/>
      <c r="BO81" s="42"/>
      <c r="BP81" s="42"/>
      <c r="BQ81" s="42"/>
      <c r="BR81" s="42"/>
      <c r="BS81" s="42"/>
    </row>
    <row r="82" spans="2:71" ht="12.75" hidden="1">
      <c r="B82" s="10"/>
      <c r="C82" s="10" t="s">
        <v>263</v>
      </c>
      <c r="D82" s="193"/>
      <c r="E82" s="193"/>
      <c r="F82" s="193"/>
      <c r="G82" s="39"/>
      <c r="H82" s="10"/>
      <c r="I82" s="10"/>
      <c r="J82" s="10"/>
      <c r="K82" s="10"/>
      <c r="L82" s="10"/>
      <c r="M82" s="10"/>
      <c r="N82" s="10"/>
      <c r="O82" s="74"/>
      <c r="P82" s="74"/>
      <c r="Q82" s="74"/>
      <c r="R82" s="18"/>
      <c r="S82" s="74"/>
      <c r="T82" s="86"/>
      <c r="U82" s="86"/>
      <c r="V82" s="74"/>
      <c r="W82" s="74"/>
      <c r="X82" s="74"/>
      <c r="Y82" s="74"/>
      <c r="Z82" s="74"/>
      <c r="AB82" s="42"/>
      <c r="AC82" s="42"/>
      <c r="AD82" s="42"/>
      <c r="AE82" s="42"/>
      <c r="AF82" s="79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42"/>
      <c r="AR82" s="42"/>
      <c r="AS82" s="42"/>
      <c r="AT82" s="42"/>
      <c r="AU82" s="42"/>
      <c r="AV82" s="42"/>
      <c r="AW82" s="42"/>
      <c r="AX82" s="42"/>
      <c r="AY82" s="74"/>
      <c r="AZ82" s="79"/>
      <c r="BA82" s="74"/>
      <c r="BB82" s="74"/>
      <c r="BC82" s="74"/>
      <c r="BD82" s="74"/>
      <c r="BE82" s="74"/>
      <c r="BF82" s="74"/>
      <c r="BG82" s="74"/>
      <c r="BH82" s="74"/>
      <c r="BI82" s="74"/>
      <c r="BJ82" s="79"/>
      <c r="BK82" s="42"/>
      <c r="BL82" s="42"/>
      <c r="BM82" s="42"/>
      <c r="BN82" s="42"/>
      <c r="BO82" s="42"/>
      <c r="BP82" s="42"/>
      <c r="BQ82" s="42"/>
      <c r="BR82" s="42"/>
      <c r="BS82" s="42"/>
    </row>
    <row r="83" spans="2:71" ht="12.75" hidden="1">
      <c r="B83" s="10"/>
      <c r="C83" s="10" t="s">
        <v>264</v>
      </c>
      <c r="D83" s="193"/>
      <c r="E83" s="193"/>
      <c r="F83" s="193"/>
      <c r="G83" s="39"/>
      <c r="H83" s="10"/>
      <c r="I83" s="10"/>
      <c r="J83" s="10"/>
      <c r="K83" s="10"/>
      <c r="L83" s="10"/>
      <c r="M83" s="10"/>
      <c r="N83" s="10"/>
      <c r="O83" s="74"/>
      <c r="P83" s="74"/>
      <c r="Q83" s="74"/>
      <c r="R83" s="18"/>
      <c r="S83" s="74"/>
      <c r="T83" s="86"/>
      <c r="U83" s="86"/>
      <c r="V83" s="74"/>
      <c r="W83" s="74"/>
      <c r="X83" s="74"/>
      <c r="Y83" s="74"/>
      <c r="Z83" s="74"/>
      <c r="AB83" s="42"/>
      <c r="AC83" s="42"/>
      <c r="AD83" s="42"/>
      <c r="AE83" s="42"/>
      <c r="AF83" s="79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42"/>
      <c r="AR83" s="42"/>
      <c r="AS83" s="42"/>
      <c r="AT83" s="42"/>
      <c r="AU83" s="42"/>
      <c r="AV83" s="42"/>
      <c r="AW83" s="42"/>
      <c r="AX83" s="42"/>
      <c r="AY83" s="74"/>
      <c r="AZ83" s="79"/>
      <c r="BA83" s="74"/>
      <c r="BB83" s="74"/>
      <c r="BC83" s="74"/>
      <c r="BD83" s="74"/>
      <c r="BE83" s="74"/>
      <c r="BF83" s="74"/>
      <c r="BG83" s="74"/>
      <c r="BH83" s="74"/>
      <c r="BI83" s="74"/>
      <c r="BJ83" s="79"/>
      <c r="BK83" s="42"/>
      <c r="BL83" s="42"/>
      <c r="BM83" s="42"/>
      <c r="BN83" s="42"/>
      <c r="BO83" s="42"/>
      <c r="BP83" s="42"/>
      <c r="BQ83" s="42"/>
      <c r="BR83" s="42"/>
      <c r="BS83" s="42"/>
    </row>
    <row r="84" spans="2:71" ht="12.75" hidden="1">
      <c r="B84" s="10"/>
      <c r="C84" s="10"/>
      <c r="D84" s="193"/>
      <c r="E84" s="193"/>
      <c r="F84" s="193"/>
      <c r="G84" s="39"/>
      <c r="H84" s="10"/>
      <c r="I84" s="10"/>
      <c r="J84" s="10"/>
      <c r="K84" s="10"/>
      <c r="L84" s="10"/>
      <c r="M84" s="10"/>
      <c r="N84" s="10"/>
      <c r="O84" s="74"/>
      <c r="P84" s="74"/>
      <c r="Q84" s="74"/>
      <c r="R84" s="18"/>
      <c r="S84" s="74"/>
      <c r="T84" s="86"/>
      <c r="U84" s="86"/>
      <c r="V84" s="74"/>
      <c r="W84" s="74"/>
      <c r="X84" s="74"/>
      <c r="Y84" s="74"/>
      <c r="Z84" s="74"/>
      <c r="AB84" s="42"/>
      <c r="AC84" s="42"/>
      <c r="AD84" s="42"/>
      <c r="AE84" s="42"/>
      <c r="AF84" s="79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42"/>
      <c r="AR84" s="42"/>
      <c r="AS84" s="42"/>
      <c r="AT84" s="42"/>
      <c r="AU84" s="42"/>
      <c r="AV84" s="42"/>
      <c r="AW84" s="42"/>
      <c r="AX84" s="42"/>
      <c r="AY84" s="74"/>
      <c r="AZ84" s="79"/>
      <c r="BA84" s="74"/>
      <c r="BB84" s="74"/>
      <c r="BC84" s="74"/>
      <c r="BD84" s="74"/>
      <c r="BE84" s="74"/>
      <c r="BF84" s="74"/>
      <c r="BG84" s="74"/>
      <c r="BH84" s="74"/>
      <c r="BI84" s="74"/>
      <c r="BJ84" s="79"/>
      <c r="BK84" s="42"/>
      <c r="BL84" s="42"/>
      <c r="BM84" s="42"/>
      <c r="BN84" s="42"/>
      <c r="BO84" s="42"/>
      <c r="BP84" s="42"/>
      <c r="BQ84" s="42"/>
      <c r="BR84" s="42"/>
      <c r="BS84" s="42"/>
    </row>
    <row r="85" spans="2:16" ht="12.75">
      <c r="B85" s="2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4"/>
      <c r="O85" s="1"/>
      <c r="P85" s="1"/>
    </row>
    <row r="86" spans="2:16" ht="12.75">
      <c r="B86" s="315" t="s">
        <v>54</v>
      </c>
      <c r="C86" s="316"/>
      <c r="D86" s="40"/>
      <c r="E86" s="40"/>
      <c r="F86" s="70"/>
      <c r="G86" s="20"/>
      <c r="H86" s="20"/>
      <c r="I86" s="20"/>
      <c r="J86" s="20"/>
      <c r="K86" s="20"/>
      <c r="L86" s="21"/>
      <c r="M86" s="1"/>
      <c r="N86" s="24"/>
      <c r="O86" s="1"/>
      <c r="P86" s="1"/>
    </row>
    <row r="87" spans="2:16" ht="12.75">
      <c r="B87" s="41"/>
      <c r="C87" s="42"/>
      <c r="D87" s="42"/>
      <c r="E87" s="42"/>
      <c r="F87" s="71"/>
      <c r="G87" s="1"/>
      <c r="H87" s="1"/>
      <c r="I87" s="1"/>
      <c r="J87" s="1"/>
      <c r="K87" s="1"/>
      <c r="L87" s="22"/>
      <c r="M87" s="1"/>
      <c r="N87" s="24"/>
      <c r="O87" s="1"/>
      <c r="P87" s="1"/>
    </row>
    <row r="88" spans="2:16" ht="12.75">
      <c r="B88" s="313" t="s">
        <v>55</v>
      </c>
      <c r="C88" s="314"/>
      <c r="D88" s="314"/>
      <c r="E88" s="314"/>
      <c r="F88" s="314"/>
      <c r="G88" s="198"/>
      <c r="H88" s="199"/>
      <c r="I88" s="309"/>
      <c r="J88" s="309"/>
      <c r="K88" s="309"/>
      <c r="L88" s="310"/>
      <c r="M88" s="1"/>
      <c r="N88" s="24"/>
      <c r="O88" s="1"/>
      <c r="P88" s="1"/>
    </row>
    <row r="89" spans="2:16" ht="12.75">
      <c r="B89" s="313" t="s">
        <v>56</v>
      </c>
      <c r="C89" s="314"/>
      <c r="D89" s="314"/>
      <c r="E89" s="314"/>
      <c r="F89" s="314"/>
      <c r="G89" s="198"/>
      <c r="H89" s="199"/>
      <c r="I89" s="309"/>
      <c r="J89" s="309"/>
      <c r="K89" s="309"/>
      <c r="L89" s="310"/>
      <c r="M89" s="1"/>
      <c r="N89" s="24"/>
      <c r="O89" s="1"/>
      <c r="P89" s="1"/>
    </row>
    <row r="90" spans="2:16" ht="12.75">
      <c r="B90" s="313" t="s">
        <v>57</v>
      </c>
      <c r="C90" s="314"/>
      <c r="D90" s="314"/>
      <c r="E90" s="314"/>
      <c r="F90" s="314"/>
      <c r="G90" s="198"/>
      <c r="H90" s="199"/>
      <c r="I90" s="309"/>
      <c r="J90" s="309"/>
      <c r="K90" s="309"/>
      <c r="L90" s="310"/>
      <c r="M90" s="1"/>
      <c r="N90" s="24"/>
      <c r="O90" s="1"/>
      <c r="P90" s="1"/>
    </row>
    <row r="91" spans="2:16" ht="12.75">
      <c r="B91" s="313" t="s">
        <v>58</v>
      </c>
      <c r="C91" s="314"/>
      <c r="D91" s="314"/>
      <c r="E91" s="314"/>
      <c r="F91" s="314"/>
      <c r="G91" s="198"/>
      <c r="H91" s="199"/>
      <c r="I91" s="301"/>
      <c r="J91" s="302"/>
      <c r="K91" s="302"/>
      <c r="L91" s="303"/>
      <c r="M91" s="1"/>
      <c r="N91" s="24"/>
      <c r="O91" s="1"/>
      <c r="P91" s="1"/>
    </row>
    <row r="92" spans="2:16" ht="12.75">
      <c r="B92" s="313" t="s">
        <v>59</v>
      </c>
      <c r="C92" s="314"/>
      <c r="D92" s="314"/>
      <c r="E92" s="314"/>
      <c r="F92" s="314"/>
      <c r="G92" s="198"/>
      <c r="H92" s="199"/>
      <c r="I92" s="301"/>
      <c r="J92" s="302"/>
      <c r="K92" s="302"/>
      <c r="L92" s="303"/>
      <c r="M92" s="1"/>
      <c r="N92" s="24"/>
      <c r="O92" s="1"/>
      <c r="P92" s="1"/>
    </row>
    <row r="93" spans="2:16" ht="12.75">
      <c r="B93" s="313" t="s">
        <v>60</v>
      </c>
      <c r="C93" s="314"/>
      <c r="D93" s="314"/>
      <c r="E93" s="314"/>
      <c r="F93" s="314"/>
      <c r="G93" s="198"/>
      <c r="H93" s="199"/>
      <c r="I93" s="301"/>
      <c r="J93" s="302"/>
      <c r="K93" s="302"/>
      <c r="L93" s="303"/>
      <c r="M93" s="1"/>
      <c r="N93" s="24"/>
      <c r="O93" s="1"/>
      <c r="P93" s="1"/>
    </row>
    <row r="94" spans="2:16" ht="12.75">
      <c r="B94" s="313" t="s">
        <v>61</v>
      </c>
      <c r="C94" s="314"/>
      <c r="D94" s="314"/>
      <c r="E94" s="314"/>
      <c r="F94" s="314"/>
      <c r="G94" s="192">
        <f>SUM(H19:H59)</f>
        <v>0</v>
      </c>
      <c r="H94" s="164"/>
      <c r="I94" s="304"/>
      <c r="J94" s="305"/>
      <c r="K94" s="305"/>
      <c r="L94" s="306"/>
      <c r="M94" s="1"/>
      <c r="N94" s="24"/>
      <c r="O94" s="1"/>
      <c r="P94" s="1"/>
    </row>
    <row r="95" spans="2:16" ht="13.5" thickBot="1">
      <c r="B95" s="44"/>
      <c r="C95" s="45"/>
      <c r="D95" s="45"/>
      <c r="E95" s="45"/>
      <c r="F95" s="45"/>
      <c r="G95" s="27"/>
      <c r="H95" s="28"/>
      <c r="I95" s="26"/>
      <c r="J95" s="26"/>
      <c r="K95" s="26"/>
      <c r="L95" s="28"/>
      <c r="M95" s="26"/>
      <c r="N95" s="29"/>
      <c r="O95" s="1"/>
      <c r="P95" s="1"/>
    </row>
    <row r="97" ht="12.75" hidden="1"/>
    <row r="98" spans="2:16" ht="12.75" hidden="1">
      <c r="B98" s="270" t="s">
        <v>88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63"/>
      <c r="O98" s="46"/>
      <c r="P98" s="46">
        <f>IF(AND(C19="AM",C19="CC",C19="DF",C19="DF/FW",C19="DF/MF",C19="DLM",C19="DM",C19="FB",C19="FW",C19="GG",C19="GK",C19="GK/SW",C19="GS",C19="LK",C19="LS",C19="MF",C19="MF/FW",C19="MLM",C19="PP",C19="SS",C19="SUT",C19="SW",C19="UT",C19="WB",C19="WG"),"ILLEGAL PLAYER TYPE","")</f>
      </c>
    </row>
    <row r="99" spans="2:16" ht="12.75" hidden="1">
      <c r="B99" s="174" t="s">
        <v>106</v>
      </c>
      <c r="C99" s="172" t="s">
        <v>108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5"/>
      <c r="O99" s="46"/>
      <c r="P99" s="46"/>
    </row>
    <row r="100" spans="2:14" ht="12.75" hidden="1">
      <c r="B100" s="174" t="s">
        <v>107</v>
      </c>
      <c r="C100" s="172" t="s">
        <v>109</v>
      </c>
      <c r="D100" s="42"/>
      <c r="E100" s="42" t="s">
        <v>124</v>
      </c>
      <c r="F100" s="42"/>
      <c r="G100" s="42"/>
      <c r="H100" s="42"/>
      <c r="I100" s="42"/>
      <c r="J100" s="42"/>
      <c r="K100" s="42"/>
      <c r="L100" s="42"/>
      <c r="M100" s="42"/>
      <c r="N100" s="176"/>
    </row>
    <row r="101" spans="2:14" ht="12.75" hidden="1">
      <c r="B101" s="174" t="s">
        <v>8</v>
      </c>
      <c r="C101" s="177">
        <v>0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176"/>
    </row>
    <row r="102" spans="2:14" ht="12.75" hidden="1">
      <c r="B102" s="174" t="s">
        <v>263</v>
      </c>
      <c r="C102" s="177">
        <v>1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176"/>
    </row>
    <row r="103" spans="2:14" ht="12.75" hidden="1">
      <c r="B103" s="178" t="s">
        <v>104</v>
      </c>
      <c r="C103" s="42">
        <v>4</v>
      </c>
      <c r="D103" s="42"/>
      <c r="E103" s="42">
        <f>COUNTIF(C19:C58,"CC")</f>
        <v>0</v>
      </c>
      <c r="F103" s="42"/>
      <c r="G103" s="42"/>
      <c r="H103" s="42"/>
      <c r="I103" s="42"/>
      <c r="J103" s="42"/>
      <c r="K103" s="42"/>
      <c r="L103" s="42"/>
      <c r="M103" s="42"/>
      <c r="N103" s="176"/>
    </row>
    <row r="104" spans="2:14" ht="12.75" hidden="1">
      <c r="B104" s="178" t="s">
        <v>12</v>
      </c>
      <c r="C104" s="42">
        <v>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176"/>
    </row>
    <row r="105" spans="2:14" ht="12.75" hidden="1">
      <c r="B105" s="178" t="s">
        <v>93</v>
      </c>
      <c r="C105" s="42">
        <v>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176"/>
    </row>
    <row r="106" spans="2:14" ht="12.75" hidden="1">
      <c r="B106" s="178" t="s">
        <v>92</v>
      </c>
      <c r="C106" s="42">
        <v>1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176"/>
    </row>
    <row r="107" spans="2:14" ht="12.75" hidden="1">
      <c r="B107" s="178" t="s">
        <v>94</v>
      </c>
      <c r="C107" s="42">
        <v>2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176"/>
    </row>
    <row r="108" spans="2:14" ht="12.75" hidden="1">
      <c r="B108" s="178" t="s">
        <v>262</v>
      </c>
      <c r="C108" s="42">
        <v>1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176"/>
    </row>
    <row r="109" spans="2:14" ht="12.75" hidden="1">
      <c r="B109" s="178" t="s">
        <v>91</v>
      </c>
      <c r="C109" s="42">
        <v>2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176"/>
    </row>
    <row r="110" spans="2:14" ht="12.75" hidden="1">
      <c r="B110" s="178" t="s">
        <v>14</v>
      </c>
      <c r="C110" s="42">
        <v>1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176"/>
    </row>
    <row r="111" spans="2:14" ht="12.75" hidden="1">
      <c r="B111" s="178" t="s">
        <v>101</v>
      </c>
      <c r="C111" s="42">
        <v>4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176"/>
    </row>
    <row r="112" spans="2:14" ht="12.75" hidden="1">
      <c r="B112" s="178" t="s">
        <v>10</v>
      </c>
      <c r="C112" s="42">
        <v>2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176"/>
    </row>
    <row r="113" spans="2:14" ht="12.75" hidden="1">
      <c r="B113" s="178" t="s">
        <v>90</v>
      </c>
      <c r="C113" s="42">
        <v>2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176"/>
    </row>
    <row r="114" spans="2:14" ht="12.75" hidden="1">
      <c r="B114" s="178" t="s">
        <v>89</v>
      </c>
      <c r="C114" s="42">
        <v>2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176"/>
    </row>
    <row r="115" spans="2:14" ht="12.75" hidden="1">
      <c r="B115" s="178" t="s">
        <v>97</v>
      </c>
      <c r="C115" s="42">
        <v>2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176"/>
    </row>
    <row r="116" spans="2:14" ht="12.75" hidden="1">
      <c r="B116" s="178" t="s">
        <v>105</v>
      </c>
      <c r="C116" s="42">
        <v>1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176"/>
    </row>
    <row r="117" spans="2:14" ht="12.75" hidden="1">
      <c r="B117" s="178" t="s">
        <v>13</v>
      </c>
      <c r="C117" s="42">
        <v>1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176"/>
    </row>
    <row r="118" spans="2:14" ht="12.75" hidden="1">
      <c r="B118" s="178" t="s">
        <v>95</v>
      </c>
      <c r="C118" s="42">
        <v>1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176"/>
    </row>
    <row r="119" spans="2:14" ht="12.75" hidden="1">
      <c r="B119" s="178" t="s">
        <v>96</v>
      </c>
      <c r="C119" s="42">
        <v>2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176"/>
    </row>
    <row r="120" spans="2:14" ht="12.75" hidden="1">
      <c r="B120" s="178" t="s">
        <v>102</v>
      </c>
      <c r="C120" s="42">
        <v>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176"/>
    </row>
    <row r="121" spans="2:14" ht="12.75" hidden="1">
      <c r="B121" s="178" t="s">
        <v>103</v>
      </c>
      <c r="C121" s="42">
        <v>4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176"/>
    </row>
    <row r="122" spans="2:14" ht="12.75" hidden="1">
      <c r="B122" s="178" t="s">
        <v>100</v>
      </c>
      <c r="C122" s="42">
        <v>2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176"/>
    </row>
    <row r="123" spans="2:14" ht="12.75" hidden="1">
      <c r="B123" s="178" t="s">
        <v>11</v>
      </c>
      <c r="C123" s="42">
        <v>2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176"/>
    </row>
    <row r="124" spans="2:14" ht="12.75" hidden="1">
      <c r="B124" s="178" t="s">
        <v>99</v>
      </c>
      <c r="C124" s="42">
        <v>1.5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176"/>
    </row>
    <row r="125" spans="2:14" ht="12.75" hidden="1">
      <c r="B125" s="178" t="s">
        <v>264</v>
      </c>
      <c r="C125" s="42">
        <v>1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176"/>
    </row>
    <row r="126" spans="2:14" ht="12.75" hidden="1">
      <c r="B126" s="178" t="s">
        <v>98</v>
      </c>
      <c r="C126" s="42">
        <v>1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176"/>
    </row>
    <row r="127" spans="2:14" ht="12.75" hidden="1">
      <c r="B127" s="167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71"/>
    </row>
    <row r="128" ht="12.75" hidden="1"/>
    <row r="129" ht="12.75" hidden="1"/>
    <row r="130" ht="12.75" hidden="1"/>
  </sheetData>
  <sheetProtection password="D521" sheet="1" objects="1" scenarios="1"/>
  <mergeCells count="94">
    <mergeCell ref="B1:N3"/>
    <mergeCell ref="BK15:BQ15"/>
    <mergeCell ref="BK16:BQ16"/>
    <mergeCell ref="AQ15:AW15"/>
    <mergeCell ref="AQ16:AW16"/>
    <mergeCell ref="BA15:BG15"/>
    <mergeCell ref="BA16:BG16"/>
    <mergeCell ref="AG15:AM15"/>
    <mergeCell ref="AG16:AM16"/>
    <mergeCell ref="AB7:AE7"/>
    <mergeCell ref="AB14:AE16"/>
    <mergeCell ref="P9:R12"/>
    <mergeCell ref="S9:S15"/>
    <mergeCell ref="V16:Z16"/>
    <mergeCell ref="V14:Z15"/>
    <mergeCell ref="R16:R17"/>
    <mergeCell ref="V12:Z13"/>
    <mergeCell ref="V9:Z11"/>
    <mergeCell ref="K15:L15"/>
    <mergeCell ref="M15:N15"/>
    <mergeCell ref="I15:J15"/>
    <mergeCell ref="P16:P17"/>
    <mergeCell ref="B11:C11"/>
    <mergeCell ref="B10:C10"/>
    <mergeCell ref="B9:C9"/>
    <mergeCell ref="D19:F19"/>
    <mergeCell ref="D18:F18"/>
    <mergeCell ref="D17:F17"/>
    <mergeCell ref="D16:F16"/>
    <mergeCell ref="B12:C12"/>
    <mergeCell ref="D12:I12"/>
    <mergeCell ref="D11:I1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54:F54"/>
    <mergeCell ref="D55:F55"/>
    <mergeCell ref="D48:F48"/>
    <mergeCell ref="D49:F49"/>
    <mergeCell ref="D50:F50"/>
    <mergeCell ref="D51:F51"/>
    <mergeCell ref="D52:F52"/>
    <mergeCell ref="D53:F53"/>
    <mergeCell ref="B86:C86"/>
    <mergeCell ref="B88:F88"/>
    <mergeCell ref="B89:F89"/>
    <mergeCell ref="B90:F90"/>
    <mergeCell ref="I91:L91"/>
    <mergeCell ref="B92:F92"/>
    <mergeCell ref="B93:F93"/>
    <mergeCell ref="B94:F94"/>
    <mergeCell ref="B91:F91"/>
    <mergeCell ref="I88:L88"/>
    <mergeCell ref="I89:L89"/>
    <mergeCell ref="I90:L90"/>
    <mergeCell ref="D56:F56"/>
    <mergeCell ref="D57:F57"/>
    <mergeCell ref="D58:F58"/>
    <mergeCell ref="D59:F59"/>
    <mergeCell ref="G16:G17"/>
    <mergeCell ref="P1:Z3"/>
    <mergeCell ref="B98:N98"/>
    <mergeCell ref="T16:T17"/>
    <mergeCell ref="B7:N7"/>
    <mergeCell ref="I92:L92"/>
    <mergeCell ref="I93:L93"/>
    <mergeCell ref="I94:L94"/>
    <mergeCell ref="D9:I9"/>
    <mergeCell ref="D10:I10"/>
  </mergeCells>
  <conditionalFormatting sqref="O19:O58">
    <cfRule type="cellIs" priority="1" dxfId="0" operator="equal" stopIfTrue="1">
      <formula>"ILLEGAL PLAYER TYPE"</formula>
    </cfRule>
  </conditionalFormatting>
  <printOptions/>
  <pageMargins left="0.15748031496062992" right="0.15748031496062992" top="0.1968503937007874" bottom="0.1968503937007874" header="0.5118110236220472" footer="0.5118110236220472"/>
  <pageSetup fitToHeight="1" fitToWidth="1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30"/>
  <sheetViews>
    <sheetView showZeros="0" tabSelected="1" zoomScale="75" zoomScaleNormal="75" workbookViewId="0" topLeftCell="A1">
      <selection activeCell="AF47" sqref="AF47"/>
    </sheetView>
  </sheetViews>
  <sheetFormatPr defaultColWidth="9.140625" defaultRowHeight="12.75"/>
  <cols>
    <col min="1" max="1" width="5.421875" style="0" customWidth="1"/>
    <col min="2" max="2" width="7.28125" style="0" customWidth="1"/>
    <col min="3" max="6" width="4.7109375" style="0" customWidth="1"/>
    <col min="7" max="7" width="5.421875" style="0" customWidth="1"/>
    <col min="8" max="8" width="5.140625" style="0" customWidth="1"/>
    <col min="9" max="12" width="4.7109375" style="0" customWidth="1"/>
    <col min="13" max="13" width="5.421875" style="0" customWidth="1"/>
    <col min="14" max="14" width="5.7109375" style="0" customWidth="1"/>
    <col min="15" max="18" width="4.7109375" style="0" customWidth="1"/>
    <col min="19" max="19" width="5.7109375" style="0" customWidth="1"/>
    <col min="20" max="20" width="5.28125" style="0" customWidth="1"/>
    <col min="21" max="24" width="4.7109375" style="0" customWidth="1"/>
    <col min="25" max="25" width="5.7109375" style="0" customWidth="1"/>
    <col min="26" max="26" width="5.28125" style="0" customWidth="1"/>
    <col min="27" max="30" width="4.7109375" style="0" customWidth="1"/>
    <col min="31" max="31" width="2.421875" style="0" customWidth="1"/>
    <col min="32" max="32" width="1.7109375" style="0" customWidth="1"/>
    <col min="33" max="33" width="5.8515625" style="23" hidden="1" customWidth="1"/>
    <col min="34" max="37" width="5.28125" style="23" hidden="1" customWidth="1"/>
    <col min="38" max="78" width="5.28125" style="0" hidden="1" customWidth="1"/>
    <col min="79" max="16384" width="5.28125" style="0" customWidth="1"/>
  </cols>
  <sheetData>
    <row r="1" spans="1:37" s="3" customFormat="1" ht="12.75">
      <c r="A1" s="498" t="s">
        <v>36</v>
      </c>
      <c r="B1" s="492"/>
      <c r="C1" s="490" t="s">
        <v>398</v>
      </c>
      <c r="D1" s="491"/>
      <c r="E1" s="491"/>
      <c r="F1" s="491"/>
      <c r="G1" s="491"/>
      <c r="H1" s="491"/>
      <c r="I1" s="491"/>
      <c r="J1" s="491"/>
      <c r="K1" s="491"/>
      <c r="L1" s="491"/>
      <c r="M1" s="492"/>
      <c r="N1" s="490" t="s">
        <v>0</v>
      </c>
      <c r="O1" s="491"/>
      <c r="P1" s="491"/>
      <c r="Q1" s="491"/>
      <c r="R1" s="491"/>
      <c r="S1" s="491"/>
      <c r="T1" s="491"/>
      <c r="U1" s="491"/>
      <c r="V1" s="491"/>
      <c r="W1" s="492"/>
      <c r="X1" s="490" t="s">
        <v>24</v>
      </c>
      <c r="Y1" s="491"/>
      <c r="Z1" s="491"/>
      <c r="AA1" s="492"/>
      <c r="AB1" s="493" t="s">
        <v>2</v>
      </c>
      <c r="AC1" s="494"/>
      <c r="AD1" s="495"/>
      <c r="AG1" s="80"/>
      <c r="AH1" s="80"/>
      <c r="AI1" s="80"/>
      <c r="AJ1" s="80"/>
      <c r="AK1" s="80"/>
    </row>
    <row r="2" spans="1:65" ht="12.75">
      <c r="A2" s="499" t="s">
        <v>261</v>
      </c>
      <c r="B2" s="500"/>
      <c r="C2" s="480" t="str">
        <f>squad!D11</f>
        <v>XX</v>
      </c>
      <c r="D2" s="481"/>
      <c r="E2" s="481"/>
      <c r="F2" s="481"/>
      <c r="G2" s="481"/>
      <c r="H2" s="481"/>
      <c r="I2" s="481"/>
      <c r="J2" s="481"/>
      <c r="K2" s="481"/>
      <c r="L2" s="481"/>
      <c r="M2" s="482"/>
      <c r="N2" s="480" t="str">
        <f>squad!D10</f>
        <v>XX</v>
      </c>
      <c r="O2" s="481"/>
      <c r="P2" s="481"/>
      <c r="Q2" s="481"/>
      <c r="R2" s="481"/>
      <c r="S2" s="481"/>
      <c r="T2" s="481"/>
      <c r="U2" s="481"/>
      <c r="V2" s="481"/>
      <c r="W2" s="482"/>
      <c r="X2" s="480" t="str">
        <f>squad!D12</f>
        <v>XX</v>
      </c>
      <c r="Y2" s="481"/>
      <c r="Z2" s="481"/>
      <c r="AA2" s="482"/>
      <c r="AB2" s="480" t="str">
        <f>squad!D9</f>
        <v>XX</v>
      </c>
      <c r="AC2" s="481"/>
      <c r="AD2" s="496"/>
      <c r="AE2" s="3"/>
      <c r="AF2" s="3"/>
      <c r="AG2" s="80"/>
      <c r="AH2" s="80"/>
      <c r="AI2" s="80"/>
      <c r="AJ2" s="80"/>
      <c r="AK2" s="80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3.5" thickBot="1">
      <c r="A3" s="501"/>
      <c r="B3" s="502"/>
      <c r="C3" s="483"/>
      <c r="D3" s="484"/>
      <c r="E3" s="484"/>
      <c r="F3" s="484"/>
      <c r="G3" s="484"/>
      <c r="H3" s="484"/>
      <c r="I3" s="484"/>
      <c r="J3" s="484"/>
      <c r="K3" s="484"/>
      <c r="L3" s="484"/>
      <c r="M3" s="485"/>
      <c r="N3" s="483"/>
      <c r="O3" s="484"/>
      <c r="P3" s="484"/>
      <c r="Q3" s="484"/>
      <c r="R3" s="484"/>
      <c r="S3" s="484"/>
      <c r="T3" s="484"/>
      <c r="U3" s="484"/>
      <c r="V3" s="484"/>
      <c r="W3" s="485"/>
      <c r="X3" s="483"/>
      <c r="Y3" s="484"/>
      <c r="Z3" s="484"/>
      <c r="AA3" s="485"/>
      <c r="AB3" s="483"/>
      <c r="AC3" s="484"/>
      <c r="AD3" s="497"/>
      <c r="AE3" s="3"/>
      <c r="AF3" s="3"/>
      <c r="AG3" s="80"/>
      <c r="AH3" s="80"/>
      <c r="AI3" s="80"/>
      <c r="AJ3" s="80"/>
      <c r="AK3" s="80"/>
      <c r="AL3" s="3"/>
      <c r="AM3" s="3"/>
      <c r="AN3" s="3"/>
      <c r="AO3" s="3"/>
      <c r="AP3" s="3"/>
      <c r="AQ3" s="3"/>
      <c r="AR3" s="3"/>
      <c r="AS3" s="3"/>
      <c r="AT3" s="3"/>
      <c r="AU3" s="3"/>
      <c r="AV3" s="3" t="s">
        <v>384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73" s="3" customFormat="1" ht="12.75">
      <c r="A4" s="486" t="s">
        <v>3</v>
      </c>
      <c r="B4" s="487"/>
      <c r="C4" s="488"/>
      <c r="D4" s="488"/>
      <c r="E4" s="488"/>
      <c r="F4" s="488"/>
      <c r="G4" s="488"/>
      <c r="H4" s="488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9"/>
      <c r="AG4" s="181" t="s">
        <v>104</v>
      </c>
      <c r="AH4" s="182" t="s">
        <v>143</v>
      </c>
      <c r="AI4" s="182"/>
      <c r="AJ4" s="182"/>
      <c r="AK4" s="182"/>
      <c r="AL4" s="185"/>
      <c r="AM4" s="185" t="s">
        <v>104</v>
      </c>
      <c r="AN4" s="186"/>
      <c r="AV4" s="3">
        <f>COUNTIF(B262:B272,"WB")</f>
        <v>0</v>
      </c>
      <c r="AW4" s="3" t="s">
        <v>396</v>
      </c>
      <c r="BB4" s="3">
        <f>COUNTIF(H262:H272,"WB")</f>
        <v>0</v>
      </c>
      <c r="BC4" s="3" t="s">
        <v>396</v>
      </c>
      <c r="BH4" s="3">
        <f>COUNTIF(N262:N272,"WB")</f>
        <v>0</v>
      </c>
      <c r="BI4" s="3" t="s">
        <v>396</v>
      </c>
      <c r="BN4" s="3">
        <f>COUNTIF(T262:T272,"WB")</f>
        <v>0</v>
      </c>
      <c r="BO4" s="3" t="s">
        <v>396</v>
      </c>
      <c r="BT4" s="3">
        <f>COUNTIF(Z262:Z272,"WB")</f>
        <v>0</v>
      </c>
      <c r="BU4" s="3" t="s">
        <v>396</v>
      </c>
    </row>
    <row r="5" spans="1:73" ht="12.75">
      <c r="A5" s="56" t="s">
        <v>5</v>
      </c>
      <c r="B5" s="57" t="s">
        <v>20</v>
      </c>
      <c r="C5" s="463" t="s">
        <v>6</v>
      </c>
      <c r="D5" s="463"/>
      <c r="E5" s="463"/>
      <c r="F5" s="463"/>
      <c r="G5" s="463"/>
      <c r="H5" s="463"/>
      <c r="I5" s="464" t="s">
        <v>21</v>
      </c>
      <c r="J5" s="479"/>
      <c r="K5" s="464" t="s">
        <v>22</v>
      </c>
      <c r="L5" s="479"/>
      <c r="M5" s="464" t="s">
        <v>23</v>
      </c>
      <c r="N5" s="465"/>
      <c r="O5" s="479"/>
      <c r="P5" s="58" t="s">
        <v>5</v>
      </c>
      <c r="Q5" s="58" t="s">
        <v>20</v>
      </c>
      <c r="R5" s="463" t="s">
        <v>6</v>
      </c>
      <c r="S5" s="463"/>
      <c r="T5" s="463"/>
      <c r="U5" s="463"/>
      <c r="V5" s="463"/>
      <c r="W5" s="463"/>
      <c r="X5" s="463" t="s">
        <v>21</v>
      </c>
      <c r="Y5" s="463"/>
      <c r="Z5" s="463" t="s">
        <v>22</v>
      </c>
      <c r="AA5" s="463"/>
      <c r="AB5" s="464" t="s">
        <v>23</v>
      </c>
      <c r="AC5" s="465"/>
      <c r="AD5" s="466"/>
      <c r="AE5" s="3"/>
      <c r="AF5" s="3"/>
      <c r="AG5" s="103" t="s">
        <v>112</v>
      </c>
      <c r="AH5" s="74" t="s">
        <v>10</v>
      </c>
      <c r="AI5" s="74"/>
      <c r="AJ5" s="74"/>
      <c r="AK5" s="74"/>
      <c r="AL5" s="42"/>
      <c r="AM5" s="42" t="s">
        <v>112</v>
      </c>
      <c r="AN5" s="88"/>
      <c r="AO5" s="3"/>
      <c r="AP5" s="3"/>
      <c r="AQ5" s="3"/>
      <c r="AR5" s="3"/>
      <c r="AS5" s="3"/>
      <c r="AT5" s="3"/>
      <c r="AU5" s="3"/>
      <c r="AV5" s="2">
        <f>COUNTIF(B256:B267,"WG")</f>
        <v>0</v>
      </c>
      <c r="AW5" s="2" t="s">
        <v>385</v>
      </c>
      <c r="AX5" s="2"/>
      <c r="AY5" s="2"/>
      <c r="AZ5" s="2"/>
      <c r="BA5" s="2"/>
      <c r="BB5" s="2">
        <f>COUNTIF(H256:H267,"WG")</f>
        <v>0</v>
      </c>
      <c r="BC5" s="2" t="s">
        <v>385</v>
      </c>
      <c r="BD5" s="2"/>
      <c r="BE5" s="2"/>
      <c r="BF5" s="2"/>
      <c r="BG5" s="2"/>
      <c r="BH5" s="2">
        <f>COUNTIF(N256:N267,"WG")</f>
        <v>0</v>
      </c>
      <c r="BI5" s="2" t="s">
        <v>385</v>
      </c>
      <c r="BJ5" s="3"/>
      <c r="BK5" s="3"/>
      <c r="BL5" s="3"/>
      <c r="BM5" s="3"/>
      <c r="BN5" s="2">
        <f>COUNTIF(T256:T267,"WG")</f>
        <v>0</v>
      </c>
      <c r="BO5" s="2" t="s">
        <v>385</v>
      </c>
      <c r="BT5" s="2">
        <f>COUNTIF(Z256:Z267,"WG")</f>
        <v>0</v>
      </c>
      <c r="BU5" s="2" t="s">
        <v>385</v>
      </c>
    </row>
    <row r="6" spans="1:73" ht="12.75">
      <c r="A6" s="36">
        <f>LOOKUP(B6,squad!$B$18:$B$59,squad!$C$18:$C$59)</f>
        <v>0</v>
      </c>
      <c r="B6" s="200"/>
      <c r="C6" s="312" t="str">
        <f>LOOKUP(B6,squad!$B$18:$B$59,squad!$D$18:$D$59)</f>
        <v> </v>
      </c>
      <c r="D6" s="312"/>
      <c r="E6" s="312"/>
      <c r="F6" s="312"/>
      <c r="G6" s="312"/>
      <c r="H6" s="312"/>
      <c r="I6" s="381" t="str">
        <f>LOOKUP(B6,squad!$B$18:$B$59,squad!$H$18:$H$59)</f>
        <v> </v>
      </c>
      <c r="J6" s="382"/>
      <c r="K6" s="381">
        <f>LOOKUP(B6,squad!$B$18:$B$59,squad!$S$18:$S$59)</f>
        <v>0</v>
      </c>
      <c r="L6" s="382"/>
      <c r="M6" s="381" t="str">
        <f>IF(AG6=0,"CC",AG6)</f>
        <v>CC</v>
      </c>
      <c r="N6" s="383"/>
      <c r="O6" s="382"/>
      <c r="P6" s="36">
        <f>LOOKUP(Q6,squad!$B$18:$B$59,squad!$C$18:$C$59)</f>
        <v>0</v>
      </c>
      <c r="Q6" s="200"/>
      <c r="R6" s="312" t="str">
        <f>LOOKUP(Q6,squad!$B$18:$B$59,squad!$D$18:$D$59)</f>
        <v> </v>
      </c>
      <c r="S6" s="312"/>
      <c r="T6" s="312"/>
      <c r="U6" s="312"/>
      <c r="V6" s="312"/>
      <c r="W6" s="312"/>
      <c r="X6" s="381" t="str">
        <f>LOOKUP(Q6,squad!$B$18:$B$59,squad!$H$18:$H$59)</f>
        <v> </v>
      </c>
      <c r="Y6" s="382"/>
      <c r="Z6" s="381">
        <f>LOOKUP(Q6,squad!$B$18:$B$59,squad!$S$18:$S$59)</f>
        <v>0</v>
      </c>
      <c r="AA6" s="382"/>
      <c r="AB6" s="381" t="str">
        <f>IF(AM6=0,"CC",AM6)</f>
        <v>CC</v>
      </c>
      <c r="AC6" s="383"/>
      <c r="AD6" s="384"/>
      <c r="AE6" s="3"/>
      <c r="AF6" s="3"/>
      <c r="AG6" s="103">
        <f>LOOKUP(B6,squad!$B$18:$B$59,squad!$U$18:$U$59)</f>
        <v>0</v>
      </c>
      <c r="AH6" s="74">
        <f>COUNTIF(B6:B10,41)</f>
        <v>0</v>
      </c>
      <c r="AI6" s="74"/>
      <c r="AJ6" s="74"/>
      <c r="AK6" s="74"/>
      <c r="AL6" s="42"/>
      <c r="AM6" s="74">
        <f>LOOKUP(Q6,squad!$B$18:$B$59,squad!$U$18:$U$59)</f>
        <v>0</v>
      </c>
      <c r="AN6" s="88"/>
      <c r="AO6" s="3"/>
      <c r="AP6" s="3"/>
      <c r="AQ6" s="3"/>
      <c r="AR6" s="3"/>
      <c r="AS6" s="3"/>
      <c r="AT6" s="3"/>
      <c r="AU6" s="3"/>
      <c r="AV6" s="2">
        <f>COUNTIF(B256:B273,"GK")</f>
        <v>0</v>
      </c>
      <c r="AW6" s="2" t="s">
        <v>386</v>
      </c>
      <c r="AX6" s="2"/>
      <c r="AY6" s="2"/>
      <c r="AZ6" s="2"/>
      <c r="BA6" s="2"/>
      <c r="BB6" s="2">
        <f>COUNTIF(H256:H273,"GK")</f>
        <v>0</v>
      </c>
      <c r="BC6" s="2" t="s">
        <v>386</v>
      </c>
      <c r="BD6" s="2"/>
      <c r="BE6" s="2"/>
      <c r="BF6" s="2"/>
      <c r="BG6" s="2"/>
      <c r="BH6" s="2">
        <f>COUNTIF(N256:N273,"GK")</f>
        <v>0</v>
      </c>
      <c r="BI6" s="2" t="s">
        <v>386</v>
      </c>
      <c r="BJ6" s="3"/>
      <c r="BK6" s="3"/>
      <c r="BL6" s="3"/>
      <c r="BM6" s="3"/>
      <c r="BN6" s="2">
        <f>COUNTIF(T256:T273,"GK")</f>
        <v>0</v>
      </c>
      <c r="BO6" s="2" t="s">
        <v>386</v>
      </c>
      <c r="BT6" s="2">
        <f>COUNTIF(Z256:Z273,"GK")</f>
        <v>0</v>
      </c>
      <c r="BU6" s="2" t="s">
        <v>386</v>
      </c>
    </row>
    <row r="7" spans="1:73" ht="12.75">
      <c r="A7" s="36">
        <f>LOOKUP(B7,squad!$B$18:$B$59,squad!$C$18:$C$59)</f>
        <v>0</v>
      </c>
      <c r="B7" s="200"/>
      <c r="C7" s="312" t="str">
        <f>LOOKUP(B7,squad!$B$18:$B$59,squad!$D$18:$D$59)</f>
        <v> </v>
      </c>
      <c r="D7" s="312"/>
      <c r="E7" s="312"/>
      <c r="F7" s="312"/>
      <c r="G7" s="312"/>
      <c r="H7" s="312"/>
      <c r="I7" s="381" t="str">
        <f>LOOKUP(B7,squad!$B$18:$B$59,squad!$H$18:$H$59)</f>
        <v> </v>
      </c>
      <c r="J7" s="382"/>
      <c r="K7" s="381">
        <f>LOOKUP(B7,squad!$B$18:$B$59,squad!$S$18:$S$59)</f>
        <v>0</v>
      </c>
      <c r="L7" s="382"/>
      <c r="M7" s="381" t="str">
        <f>IF(AG7=0,"CC",AG7)</f>
        <v>CC</v>
      </c>
      <c r="N7" s="383"/>
      <c r="O7" s="382"/>
      <c r="P7" s="36">
        <f>LOOKUP(Q7,squad!$B$18:$B$59,squad!$C$18:$C$59)</f>
        <v>0</v>
      </c>
      <c r="Q7" s="200"/>
      <c r="R7" s="312" t="str">
        <f>LOOKUP(Q7,squad!$B$18:$B$59,squad!$D$18:$D$59)</f>
        <v> </v>
      </c>
      <c r="S7" s="312"/>
      <c r="T7" s="312"/>
      <c r="U7" s="312"/>
      <c r="V7" s="312"/>
      <c r="W7" s="312"/>
      <c r="X7" s="381" t="str">
        <f>LOOKUP(Q7,squad!$B$18:$B$59,squad!$H$18:$H$59)</f>
        <v> </v>
      </c>
      <c r="Y7" s="382"/>
      <c r="Z7" s="381">
        <f>LOOKUP(Q7,squad!$B$18:$B$59,squad!$S$18:$S$59)</f>
        <v>0</v>
      </c>
      <c r="AA7" s="382"/>
      <c r="AB7" s="381" t="str">
        <f>IF(AM7=0,"CC",AM7)</f>
        <v>CC</v>
      </c>
      <c r="AC7" s="383"/>
      <c r="AD7" s="384"/>
      <c r="AE7" s="3"/>
      <c r="AF7" s="3"/>
      <c r="AG7" s="103">
        <f>LOOKUP(B7,squad!$B$18:$B$59,squad!$U$18:$U$59)</f>
        <v>0</v>
      </c>
      <c r="AH7" s="74">
        <f>COUNTIF(Q6:Q10,41)</f>
        <v>0</v>
      </c>
      <c r="AI7" s="74"/>
      <c r="AJ7" s="74"/>
      <c r="AK7" s="74"/>
      <c r="AL7" s="42"/>
      <c r="AM7" s="74">
        <f>LOOKUP(Q7,squad!$B$18:$B$59,squad!$U$18:$U$59)</f>
        <v>0</v>
      </c>
      <c r="AN7" s="88"/>
      <c r="AO7" s="3"/>
      <c r="AP7" s="3"/>
      <c r="AQ7" s="3"/>
      <c r="AR7" s="3"/>
      <c r="AS7" s="3"/>
      <c r="AT7" s="3"/>
      <c r="AU7" s="3"/>
      <c r="AV7" s="2">
        <f>COUNTIF(B262:B273,"FB")</f>
        <v>0</v>
      </c>
      <c r="AW7" s="2" t="s">
        <v>387</v>
      </c>
      <c r="AX7" s="2"/>
      <c r="AY7" s="2"/>
      <c r="AZ7" s="2"/>
      <c r="BA7" s="2"/>
      <c r="BB7" s="2">
        <f>COUNTIF(H262:H273,"FB")</f>
        <v>0</v>
      </c>
      <c r="BC7" s="2" t="s">
        <v>387</v>
      </c>
      <c r="BD7" s="2"/>
      <c r="BE7" s="2"/>
      <c r="BF7" s="2"/>
      <c r="BG7" s="2"/>
      <c r="BH7" s="2">
        <f>COUNTIF(N262:N273,"FB")</f>
        <v>0</v>
      </c>
      <c r="BI7" s="2" t="s">
        <v>387</v>
      </c>
      <c r="BJ7" s="3"/>
      <c r="BK7" s="3"/>
      <c r="BL7" s="3"/>
      <c r="BM7" s="3"/>
      <c r="BN7" s="2">
        <f>COUNTIF(T262:T273,"FB")</f>
        <v>0</v>
      </c>
      <c r="BO7" s="2" t="s">
        <v>387</v>
      </c>
      <c r="BT7" s="2">
        <f>COUNTIF(Z262:Z273,"FB")</f>
        <v>0</v>
      </c>
      <c r="BU7" s="2" t="s">
        <v>387</v>
      </c>
    </row>
    <row r="8" spans="1:73" ht="12.75">
      <c r="A8" s="36">
        <f>LOOKUP(B8,squad!$B$18:$B$59,squad!$C$18:$C$59)</f>
        <v>0</v>
      </c>
      <c r="B8" s="200"/>
      <c r="C8" s="312" t="str">
        <f>LOOKUP(B8,squad!$B$18:$B$59,squad!$D$18:$D$59)</f>
        <v> </v>
      </c>
      <c r="D8" s="312"/>
      <c r="E8" s="312"/>
      <c r="F8" s="312"/>
      <c r="G8" s="312"/>
      <c r="H8" s="312"/>
      <c r="I8" s="381" t="str">
        <f>LOOKUP(B8,squad!$B$18:$B$59,squad!$H$18:$H$59)</f>
        <v> </v>
      </c>
      <c r="J8" s="382"/>
      <c r="K8" s="381">
        <f>LOOKUP(B8,squad!$B$18:$B$59,squad!$S$18:$S$59)</f>
        <v>0</v>
      </c>
      <c r="L8" s="382"/>
      <c r="M8" s="381" t="str">
        <f>IF(AG8=0,"CC",AG8)</f>
        <v>CC</v>
      </c>
      <c r="N8" s="383"/>
      <c r="O8" s="382"/>
      <c r="P8" s="36">
        <f>LOOKUP(Q8,squad!$B$18:$B$59,squad!$C$18:$C$59)</f>
        <v>0</v>
      </c>
      <c r="Q8" s="200"/>
      <c r="R8" s="312" t="str">
        <f>LOOKUP(Q8,squad!$B$18:$B$59,squad!$D$18:$D$59)</f>
        <v> </v>
      </c>
      <c r="S8" s="312"/>
      <c r="T8" s="312"/>
      <c r="U8" s="312"/>
      <c r="V8" s="312"/>
      <c r="W8" s="312"/>
      <c r="X8" s="381" t="str">
        <f>LOOKUP(Q8,squad!$B$18:$B$59,squad!$H$18:$H$59)</f>
        <v> </v>
      </c>
      <c r="Y8" s="382"/>
      <c r="Z8" s="381">
        <f>LOOKUP(Q8,squad!$B$18:$B$59,squad!$S$18:$S$59)</f>
        <v>0</v>
      </c>
      <c r="AA8" s="382"/>
      <c r="AB8" s="381" t="str">
        <f>IF(AM8=0,"CC",AM8)</f>
        <v>CC</v>
      </c>
      <c r="AC8" s="383"/>
      <c r="AD8" s="384"/>
      <c r="AE8" s="3"/>
      <c r="AF8" s="3"/>
      <c r="AG8" s="103">
        <f>LOOKUP(B8,squad!$B$18:$B$59,squad!$U$18:$U$59)</f>
        <v>0</v>
      </c>
      <c r="AH8" s="74"/>
      <c r="AI8" s="74"/>
      <c r="AJ8" s="74"/>
      <c r="AK8" s="74"/>
      <c r="AL8" s="42"/>
      <c r="AM8" s="74">
        <f>LOOKUP(Q8,squad!$B$18:$B$59,squad!$U$18:$U$59)</f>
        <v>0</v>
      </c>
      <c r="AN8" s="88"/>
      <c r="AO8" s="3"/>
      <c r="AP8" s="3"/>
      <c r="AQ8" s="3"/>
      <c r="AR8" s="3"/>
      <c r="AS8" s="3"/>
      <c r="AT8" s="3"/>
      <c r="AU8" s="3"/>
      <c r="AV8" s="2">
        <f>COUNTIF(B262:B273,"DLM")</f>
        <v>0</v>
      </c>
      <c r="AW8" s="2" t="s">
        <v>388</v>
      </c>
      <c r="AX8" s="2"/>
      <c r="AY8" s="2"/>
      <c r="AZ8" s="2"/>
      <c r="BA8" s="2"/>
      <c r="BB8" s="2">
        <f>COUNTIF(H262:H273,"DLM")</f>
        <v>0</v>
      </c>
      <c r="BC8" s="2" t="s">
        <v>388</v>
      </c>
      <c r="BD8" s="2"/>
      <c r="BE8" s="2"/>
      <c r="BF8" s="2"/>
      <c r="BG8" s="2"/>
      <c r="BH8" s="2">
        <f>COUNTIF(N262:N273,"DLM")</f>
        <v>0</v>
      </c>
      <c r="BI8" s="2" t="s">
        <v>388</v>
      </c>
      <c r="BJ8" s="3"/>
      <c r="BK8" s="3"/>
      <c r="BL8" s="3"/>
      <c r="BM8" s="3"/>
      <c r="BN8" s="2">
        <f>COUNTIF(T262:T273,"DLM")</f>
        <v>0</v>
      </c>
      <c r="BO8" s="2" t="s">
        <v>388</v>
      </c>
      <c r="BT8" s="2">
        <f>COUNTIF(Z262:Z273,"DLM")</f>
        <v>0</v>
      </c>
      <c r="BU8" s="2" t="s">
        <v>388</v>
      </c>
    </row>
    <row r="9" spans="1:73" ht="12.75">
      <c r="A9" s="36">
        <f>LOOKUP(B9,squad!$B$18:$B$59,squad!$C$18:$C$59)</f>
        <v>0</v>
      </c>
      <c r="B9" s="200"/>
      <c r="C9" s="312" t="str">
        <f>LOOKUP(B9,squad!$B$18:$B$59,squad!$D$18:$D$59)</f>
        <v> </v>
      </c>
      <c r="D9" s="312"/>
      <c r="E9" s="312"/>
      <c r="F9" s="312"/>
      <c r="G9" s="312"/>
      <c r="H9" s="312"/>
      <c r="I9" s="381" t="str">
        <f>LOOKUP(B9,squad!$B$18:$B$59,squad!$H$18:$H$59)</f>
        <v> </v>
      </c>
      <c r="J9" s="382"/>
      <c r="K9" s="381">
        <f>LOOKUP(B9,squad!$B$18:$B$59,squad!$S$18:$S$59)</f>
        <v>0</v>
      </c>
      <c r="L9" s="382"/>
      <c r="M9" s="381" t="str">
        <f>IF(AG9=0,"CC",AG9)</f>
        <v>CC</v>
      </c>
      <c r="N9" s="383"/>
      <c r="O9" s="382"/>
      <c r="P9" s="36">
        <f>LOOKUP(Q9,squad!$B$18:$B$59,squad!$C$18:$C$59)</f>
        <v>0</v>
      </c>
      <c r="Q9" s="200"/>
      <c r="R9" s="312" t="str">
        <f>LOOKUP(Q9,squad!$B$18:$B$59,squad!$D$18:$D$59)</f>
        <v> </v>
      </c>
      <c r="S9" s="312"/>
      <c r="T9" s="312"/>
      <c r="U9" s="312"/>
      <c r="V9" s="312"/>
      <c r="W9" s="312"/>
      <c r="X9" s="381" t="str">
        <f>LOOKUP(Q9,squad!$B$18:$B$59,squad!$H$18:$H$59)</f>
        <v> </v>
      </c>
      <c r="Y9" s="382"/>
      <c r="Z9" s="381">
        <f>LOOKUP(Q9,squad!$B$18:$B$59,squad!$S$18:$S$59)</f>
        <v>0</v>
      </c>
      <c r="AA9" s="382"/>
      <c r="AB9" s="381" t="str">
        <f>IF(AM9=0,"CC",AM9)</f>
        <v>CC</v>
      </c>
      <c r="AC9" s="383"/>
      <c r="AD9" s="384"/>
      <c r="AE9" s="3"/>
      <c r="AF9" s="3"/>
      <c r="AG9" s="103">
        <f>LOOKUP(B9,squad!$B$18:$B$59,squad!$U$18:$U$59)</f>
        <v>0</v>
      </c>
      <c r="AH9" s="74"/>
      <c r="AI9" s="74"/>
      <c r="AJ9" s="74"/>
      <c r="AK9" s="74"/>
      <c r="AL9" s="42"/>
      <c r="AM9" s="74">
        <f>LOOKUP(Q9,squad!$B$18:$B$59,squad!$U$18:$U$59)</f>
        <v>0</v>
      </c>
      <c r="AN9" s="88"/>
      <c r="AO9" s="3"/>
      <c r="AP9" s="3"/>
      <c r="AQ9" s="3"/>
      <c r="AR9" s="3"/>
      <c r="AS9" s="3"/>
      <c r="AT9" s="3"/>
      <c r="AU9" s="3"/>
      <c r="AV9" s="2">
        <f>COUNTIF(B256:B261,"MLM")</f>
        <v>0</v>
      </c>
      <c r="AW9" s="2" t="s">
        <v>389</v>
      </c>
      <c r="AX9" s="2"/>
      <c r="AY9" s="2"/>
      <c r="AZ9" s="2"/>
      <c r="BA9" s="2"/>
      <c r="BB9" s="2">
        <f>COUNTIF(H256:H261,"MLM")</f>
        <v>0</v>
      </c>
      <c r="BC9" s="2" t="s">
        <v>389</v>
      </c>
      <c r="BD9" s="2"/>
      <c r="BE9" s="2"/>
      <c r="BF9" s="2"/>
      <c r="BG9" s="2"/>
      <c r="BH9" s="2">
        <f>COUNTIF(N256:N261,"MLM")</f>
        <v>0</v>
      </c>
      <c r="BI9" s="2" t="s">
        <v>389</v>
      </c>
      <c r="BJ9" s="3"/>
      <c r="BK9" s="3"/>
      <c r="BL9" s="3"/>
      <c r="BM9" s="3"/>
      <c r="BN9" s="2">
        <f>COUNTIF(T256:T261,"MLM")</f>
        <v>0</v>
      </c>
      <c r="BO9" s="2" t="s">
        <v>389</v>
      </c>
      <c r="BT9" s="2">
        <f>COUNTIF(Z256:Z261,"MLM")</f>
        <v>0</v>
      </c>
      <c r="BU9" s="2" t="s">
        <v>389</v>
      </c>
    </row>
    <row r="10" spans="1:73" ht="13.5" thickBot="1">
      <c r="A10" s="36">
        <f>LOOKUP(B10,squad!$B$18:$B$59,squad!$C$18:$C$59)</f>
        <v>0</v>
      </c>
      <c r="B10" s="200"/>
      <c r="C10" s="312" t="str">
        <f>LOOKUP(B10,squad!$B$18:$B$59,squad!$D$18:$D$59)</f>
        <v> </v>
      </c>
      <c r="D10" s="312"/>
      <c r="E10" s="312"/>
      <c r="F10" s="312"/>
      <c r="G10" s="312"/>
      <c r="H10" s="312"/>
      <c r="I10" s="381" t="str">
        <f>LOOKUP(B10,squad!$B$18:$B$59,squad!$H$18:$H$59)</f>
        <v> </v>
      </c>
      <c r="J10" s="382"/>
      <c r="K10" s="381">
        <f>LOOKUP(B10,squad!$B$18:$B$59,squad!$S$18:$S$59)</f>
        <v>0</v>
      </c>
      <c r="L10" s="382"/>
      <c r="M10" s="381" t="str">
        <f>IF(AG10=0,"CC",AG10)</f>
        <v>CC</v>
      </c>
      <c r="N10" s="383"/>
      <c r="O10" s="382"/>
      <c r="P10" s="36">
        <f>LOOKUP(Q10,squad!$B$18:$B$59,squad!$C$18:$C$59)</f>
        <v>0</v>
      </c>
      <c r="Q10" s="200"/>
      <c r="R10" s="312" t="str">
        <f>LOOKUP(Q10,squad!$B$18:$B$59,squad!$D$18:$D$59)</f>
        <v> </v>
      </c>
      <c r="S10" s="312"/>
      <c r="T10" s="312"/>
      <c r="U10" s="312"/>
      <c r="V10" s="312"/>
      <c r="W10" s="312"/>
      <c r="X10" s="381" t="str">
        <f>LOOKUP(Q10,squad!$B$18:$B$59,squad!$H$18:$H$59)</f>
        <v> </v>
      </c>
      <c r="Y10" s="382"/>
      <c r="Z10" s="381">
        <f>LOOKUP(Q10,squad!$B$18:$B$59,squad!$S$18:$S$59)</f>
        <v>0</v>
      </c>
      <c r="AA10" s="382"/>
      <c r="AB10" s="381" t="str">
        <f>IF(AM10=0,"CC",AM10)</f>
        <v>CC</v>
      </c>
      <c r="AC10" s="383"/>
      <c r="AD10" s="384"/>
      <c r="AE10" s="3"/>
      <c r="AF10" s="3"/>
      <c r="AG10" s="103">
        <f>LOOKUP(B10,squad!$B$18:$B$59,squad!$U$18:$U$59)</f>
        <v>0</v>
      </c>
      <c r="AH10" s="74"/>
      <c r="AI10" s="74"/>
      <c r="AJ10" s="74"/>
      <c r="AK10" s="74"/>
      <c r="AL10" s="42"/>
      <c r="AM10" s="74">
        <f>LOOKUP(Q10,squad!$B$18:$B$59,squad!$U$18:$U$59)</f>
        <v>0</v>
      </c>
      <c r="AN10" s="88"/>
      <c r="AO10" s="3"/>
      <c r="AP10" s="3"/>
      <c r="AQ10" s="3"/>
      <c r="AR10" s="3"/>
      <c r="AS10" s="3"/>
      <c r="AT10" s="3"/>
      <c r="AU10" s="3"/>
      <c r="AV10" s="2">
        <f>COUNTIF(B268:B273,"MLM")</f>
        <v>0</v>
      </c>
      <c r="AW10" s="2" t="s">
        <v>389</v>
      </c>
      <c r="AX10" s="2"/>
      <c r="AY10" s="2"/>
      <c r="AZ10" s="2"/>
      <c r="BA10" s="2"/>
      <c r="BB10" s="2">
        <f>COUNTIF(H268:H273,"MLM")</f>
        <v>0</v>
      </c>
      <c r="BC10" s="2" t="s">
        <v>389</v>
      </c>
      <c r="BD10" s="2"/>
      <c r="BE10" s="2"/>
      <c r="BF10" s="2"/>
      <c r="BG10" s="2"/>
      <c r="BH10" s="2">
        <f>COUNTIF(N268:N273,"MLM")</f>
        <v>0</v>
      </c>
      <c r="BI10" s="2" t="s">
        <v>389</v>
      </c>
      <c r="BJ10" s="3"/>
      <c r="BK10" s="3"/>
      <c r="BL10" s="3"/>
      <c r="BM10" s="3"/>
      <c r="BN10" s="2">
        <f>COUNTIF(T268:T273,"MLM")</f>
        <v>0</v>
      </c>
      <c r="BO10" s="2" t="s">
        <v>389</v>
      </c>
      <c r="BT10" s="2">
        <f>COUNTIF(Z268:Z273,"MLM")</f>
        <v>0</v>
      </c>
      <c r="BU10" s="2" t="s">
        <v>389</v>
      </c>
    </row>
    <row r="11" spans="1:73" s="3" customFormat="1" ht="13.5" thickBot="1">
      <c r="A11" s="443" t="s">
        <v>25</v>
      </c>
      <c r="B11" s="444"/>
      <c r="C11" s="444"/>
      <c r="D11" s="444"/>
      <c r="E11" s="445" t="s">
        <v>260</v>
      </c>
      <c r="F11" s="446"/>
      <c r="G11" s="409" t="s">
        <v>27</v>
      </c>
      <c r="H11" s="444"/>
      <c r="I11" s="444"/>
      <c r="J11" s="444"/>
      <c r="K11" s="445" t="s">
        <v>260</v>
      </c>
      <c r="L11" s="446"/>
      <c r="M11" s="443" t="s">
        <v>28</v>
      </c>
      <c r="N11" s="444"/>
      <c r="O11" s="444"/>
      <c r="P11" s="444"/>
      <c r="Q11" s="445" t="s">
        <v>260</v>
      </c>
      <c r="R11" s="446"/>
      <c r="S11" s="409" t="s">
        <v>29</v>
      </c>
      <c r="T11" s="444"/>
      <c r="U11" s="444"/>
      <c r="V11" s="444"/>
      <c r="W11" s="445" t="s">
        <v>260</v>
      </c>
      <c r="X11" s="446"/>
      <c r="Y11" s="407" t="s">
        <v>30</v>
      </c>
      <c r="Z11" s="408"/>
      <c r="AA11" s="408"/>
      <c r="AB11" s="409"/>
      <c r="AC11" s="445" t="s">
        <v>260</v>
      </c>
      <c r="AD11" s="446"/>
      <c r="AG11" s="183"/>
      <c r="AH11" s="184"/>
      <c r="AI11" s="184"/>
      <c r="AJ11" s="184"/>
      <c r="AK11" s="184"/>
      <c r="AL11" s="190"/>
      <c r="AM11" s="190"/>
      <c r="AN11" s="191"/>
      <c r="AV11" s="2">
        <f>COUNTIF(B268:B273,"LK")</f>
        <v>0</v>
      </c>
      <c r="AW11" s="2" t="s">
        <v>390</v>
      </c>
      <c r="BB11" s="2">
        <f>COUNTIF(H268:H273,"LK")</f>
        <v>0</v>
      </c>
      <c r="BC11" s="2" t="s">
        <v>390</v>
      </c>
      <c r="BH11" s="2">
        <f>COUNTIF(N268:N273,"LK")</f>
        <v>0</v>
      </c>
      <c r="BI11" s="2" t="s">
        <v>390</v>
      </c>
      <c r="BN11" s="2">
        <f>COUNTIF(T268:T273,"LK")</f>
        <v>0</v>
      </c>
      <c r="BO11" s="2" t="s">
        <v>390</v>
      </c>
      <c r="BT11" s="2">
        <f>COUNTIF(Z268:Z273,"LK")</f>
        <v>0</v>
      </c>
      <c r="BU11" s="2" t="s">
        <v>390</v>
      </c>
    </row>
    <row r="12" spans="1:73" ht="13.5" thickBot="1">
      <c r="A12" s="447" t="s">
        <v>26</v>
      </c>
      <c r="B12" s="448"/>
      <c r="C12" s="448"/>
      <c r="D12" s="448"/>
      <c r="E12" s="448"/>
      <c r="F12" s="449"/>
      <c r="G12" s="459" t="s">
        <v>26</v>
      </c>
      <c r="H12" s="448"/>
      <c r="I12" s="448"/>
      <c r="J12" s="448"/>
      <c r="K12" s="448"/>
      <c r="L12" s="460"/>
      <c r="M12" s="447" t="s">
        <v>26</v>
      </c>
      <c r="N12" s="448"/>
      <c r="O12" s="448"/>
      <c r="P12" s="448"/>
      <c r="Q12" s="448"/>
      <c r="R12" s="449"/>
      <c r="S12" s="459" t="s">
        <v>26</v>
      </c>
      <c r="T12" s="448"/>
      <c r="U12" s="448"/>
      <c r="V12" s="448"/>
      <c r="W12" s="448"/>
      <c r="X12" s="460"/>
      <c r="Y12" s="447" t="s">
        <v>26</v>
      </c>
      <c r="Z12" s="448"/>
      <c r="AA12" s="448"/>
      <c r="AB12" s="448"/>
      <c r="AC12" s="448"/>
      <c r="AD12" s="449"/>
      <c r="AE12" s="3"/>
      <c r="AF12" s="3"/>
      <c r="AG12" s="80"/>
      <c r="AH12" s="80"/>
      <c r="AI12" s="80"/>
      <c r="AJ12" s="80"/>
      <c r="AK12" s="80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>
        <f>COUNTIF(B256:B261,"LK")</f>
        <v>0</v>
      </c>
      <c r="AW12" s="2" t="s">
        <v>390</v>
      </c>
      <c r="AX12" s="3"/>
      <c r="AY12" s="3"/>
      <c r="AZ12" s="3"/>
      <c r="BA12" s="3"/>
      <c r="BB12" s="2">
        <f>COUNTIF(H256:H261,"LK")</f>
        <v>0</v>
      </c>
      <c r="BC12" s="2" t="s">
        <v>390</v>
      </c>
      <c r="BD12" s="3"/>
      <c r="BE12" s="3"/>
      <c r="BF12" s="3"/>
      <c r="BG12" s="3"/>
      <c r="BH12" s="2">
        <f>COUNTIF(N256:N261,"LK")</f>
        <v>0</v>
      </c>
      <c r="BI12" s="2" t="s">
        <v>390</v>
      </c>
      <c r="BJ12" s="3"/>
      <c r="BK12" s="3"/>
      <c r="BL12" s="3"/>
      <c r="BM12" s="3"/>
      <c r="BN12" s="2">
        <f>COUNTIF(T256:T261,"LK")</f>
        <v>0</v>
      </c>
      <c r="BO12" s="2" t="s">
        <v>390</v>
      </c>
      <c r="BT12" s="2">
        <f>COUNTIF(Z256:Z261,"LK")</f>
        <v>0</v>
      </c>
      <c r="BU12" s="2" t="s">
        <v>390</v>
      </c>
    </row>
    <row r="13" spans="1:73" ht="12.75">
      <c r="A13" s="450"/>
      <c r="B13" s="451"/>
      <c r="C13" s="451"/>
      <c r="D13" s="451"/>
      <c r="E13" s="451"/>
      <c r="F13" s="452"/>
      <c r="G13" s="451"/>
      <c r="H13" s="451"/>
      <c r="I13" s="451"/>
      <c r="J13" s="451"/>
      <c r="K13" s="451"/>
      <c r="L13" s="451"/>
      <c r="M13" s="450"/>
      <c r="N13" s="451"/>
      <c r="O13" s="451"/>
      <c r="P13" s="451"/>
      <c r="Q13" s="451"/>
      <c r="R13" s="452"/>
      <c r="S13" s="451"/>
      <c r="T13" s="451"/>
      <c r="U13" s="451"/>
      <c r="V13" s="451"/>
      <c r="W13" s="451"/>
      <c r="X13" s="451"/>
      <c r="Y13" s="450"/>
      <c r="Z13" s="451"/>
      <c r="AA13" s="451"/>
      <c r="AB13" s="451"/>
      <c r="AC13" s="451"/>
      <c r="AD13" s="452"/>
      <c r="AE13" s="3"/>
      <c r="AF13" s="3"/>
      <c r="AG13" s="509" t="s">
        <v>77</v>
      </c>
      <c r="AH13" s="510"/>
      <c r="AI13" s="510"/>
      <c r="AJ13" s="510"/>
      <c r="AK13" s="511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>
        <f>COUNTIF(B256:B261,"AM")</f>
        <v>0</v>
      </c>
      <c r="AW13" s="2" t="s">
        <v>391</v>
      </c>
      <c r="AX13" s="3"/>
      <c r="AY13" s="3"/>
      <c r="AZ13" s="3"/>
      <c r="BA13" s="3"/>
      <c r="BB13" s="2">
        <f>COUNTIF(H256:H261,"AM")</f>
        <v>0</v>
      </c>
      <c r="BC13" s="2" t="s">
        <v>391</v>
      </c>
      <c r="BD13" s="3"/>
      <c r="BE13" s="3"/>
      <c r="BF13" s="3"/>
      <c r="BG13" s="3"/>
      <c r="BH13" s="2">
        <f>COUNTIF(N256:N261,"AM")</f>
        <v>0</v>
      </c>
      <c r="BI13" s="2" t="s">
        <v>391</v>
      </c>
      <c r="BJ13" s="3"/>
      <c r="BK13" s="3"/>
      <c r="BL13" s="3"/>
      <c r="BM13" s="3"/>
      <c r="BN13" s="2">
        <f>COUNTIF(T256:T261,"AM")</f>
        <v>0</v>
      </c>
      <c r="BO13" s="2" t="s">
        <v>391</v>
      </c>
      <c r="BT13" s="2">
        <f>COUNTIF(Z256:Z261,"AM")</f>
        <v>0</v>
      </c>
      <c r="BU13" s="2" t="s">
        <v>391</v>
      </c>
    </row>
    <row r="14" spans="1:73" ht="13.5" thickBot="1">
      <c r="A14" s="453"/>
      <c r="B14" s="454"/>
      <c r="C14" s="454"/>
      <c r="D14" s="454"/>
      <c r="E14" s="454"/>
      <c r="F14" s="455"/>
      <c r="G14" s="454"/>
      <c r="H14" s="454"/>
      <c r="I14" s="454"/>
      <c r="J14" s="454"/>
      <c r="K14" s="454"/>
      <c r="L14" s="454"/>
      <c r="M14" s="453"/>
      <c r="N14" s="454"/>
      <c r="O14" s="454"/>
      <c r="P14" s="454"/>
      <c r="Q14" s="454"/>
      <c r="R14" s="455"/>
      <c r="S14" s="454"/>
      <c r="T14" s="454"/>
      <c r="U14" s="454"/>
      <c r="V14" s="454"/>
      <c r="W14" s="454"/>
      <c r="X14" s="454"/>
      <c r="Y14" s="453"/>
      <c r="Z14" s="454"/>
      <c r="AA14" s="454"/>
      <c r="AB14" s="454"/>
      <c r="AC14" s="454"/>
      <c r="AD14" s="455"/>
      <c r="AE14" s="3"/>
      <c r="AF14" s="3"/>
      <c r="AG14" s="100"/>
      <c r="AH14" s="82"/>
      <c r="AI14" s="82"/>
      <c r="AJ14" s="82"/>
      <c r="AK14" s="101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>
        <f>COUNTIF(B268:B273,"AM")</f>
        <v>0</v>
      </c>
      <c r="AW14" s="2" t="s">
        <v>391</v>
      </c>
      <c r="AX14" s="3"/>
      <c r="AY14" s="3"/>
      <c r="AZ14" s="3"/>
      <c r="BA14" s="3"/>
      <c r="BB14" s="2">
        <f>COUNTIF(H268:H273,"AM")</f>
        <v>0</v>
      </c>
      <c r="BC14" s="2" t="s">
        <v>391</v>
      </c>
      <c r="BD14" s="3"/>
      <c r="BE14" s="3"/>
      <c r="BF14" s="3"/>
      <c r="BG14" s="3"/>
      <c r="BH14" s="2">
        <f>COUNTIF(N268:N273,"AM")</f>
        <v>0</v>
      </c>
      <c r="BI14" s="2" t="s">
        <v>391</v>
      </c>
      <c r="BJ14" s="3"/>
      <c r="BK14" s="3"/>
      <c r="BL14" s="3"/>
      <c r="BM14" s="3"/>
      <c r="BN14" s="2">
        <f>COUNTIF(T268:T273,"AM")</f>
        <v>0</v>
      </c>
      <c r="BO14" s="2" t="s">
        <v>391</v>
      </c>
      <c r="BT14" s="2">
        <f>COUNTIF(Z268:Z273,"AM")</f>
        <v>0</v>
      </c>
      <c r="BU14" s="2" t="s">
        <v>391</v>
      </c>
    </row>
    <row r="15" spans="1:73" ht="12.75">
      <c r="A15" s="456"/>
      <c r="B15" s="457"/>
      <c r="C15" s="457"/>
      <c r="D15" s="457"/>
      <c r="E15" s="457"/>
      <c r="F15" s="458"/>
      <c r="G15" s="457"/>
      <c r="H15" s="457"/>
      <c r="I15" s="457"/>
      <c r="J15" s="457"/>
      <c r="K15" s="457"/>
      <c r="L15" s="457"/>
      <c r="M15" s="456"/>
      <c r="N15" s="457"/>
      <c r="O15" s="457"/>
      <c r="P15" s="457"/>
      <c r="Q15" s="457"/>
      <c r="R15" s="458"/>
      <c r="S15" s="457"/>
      <c r="T15" s="457"/>
      <c r="U15" s="457"/>
      <c r="V15" s="457"/>
      <c r="W15" s="457"/>
      <c r="X15" s="457"/>
      <c r="Y15" s="456"/>
      <c r="Z15" s="457"/>
      <c r="AA15" s="457"/>
      <c r="AB15" s="457"/>
      <c r="AC15" s="457"/>
      <c r="AD15" s="458"/>
      <c r="AE15" s="3"/>
      <c r="AF15" s="3"/>
      <c r="AG15" s="99" t="s">
        <v>79</v>
      </c>
      <c r="AH15" s="18" t="s">
        <v>80</v>
      </c>
      <c r="AI15" s="18" t="s">
        <v>81</v>
      </c>
      <c r="AJ15" s="18" t="s">
        <v>82</v>
      </c>
      <c r="AK15" s="102" t="s">
        <v>83</v>
      </c>
      <c r="AL15" s="3"/>
      <c r="AM15" s="128" t="s">
        <v>179</v>
      </c>
      <c r="AN15" s="129"/>
      <c r="AO15" s="129"/>
      <c r="AP15" s="129"/>
      <c r="AQ15" s="129"/>
      <c r="AR15" s="130"/>
      <c r="AS15" s="3"/>
      <c r="AT15" s="3"/>
      <c r="AU15" s="3"/>
      <c r="AV15" s="2">
        <f>COUNTIF(B256:B261,"DM")</f>
        <v>0</v>
      </c>
      <c r="AW15" s="2" t="s">
        <v>392</v>
      </c>
      <c r="AX15" s="3"/>
      <c r="AY15" s="3"/>
      <c r="AZ15" s="3"/>
      <c r="BA15" s="3"/>
      <c r="BB15" s="2">
        <f>COUNTIF(H256:H261,"DM")</f>
        <v>0</v>
      </c>
      <c r="BC15" s="2" t="s">
        <v>392</v>
      </c>
      <c r="BD15" s="3"/>
      <c r="BE15" s="3"/>
      <c r="BF15" s="3"/>
      <c r="BG15" s="3"/>
      <c r="BH15" s="2">
        <f>COUNTIF(N256:N261,"DM")</f>
        <v>0</v>
      </c>
      <c r="BI15" s="2" t="s">
        <v>392</v>
      </c>
      <c r="BJ15" s="3"/>
      <c r="BK15" s="3"/>
      <c r="BL15" s="3"/>
      <c r="BM15" s="3"/>
      <c r="BN15" s="2">
        <f>COUNTIF(T256:T261,"DM")</f>
        <v>0</v>
      </c>
      <c r="BO15" s="2" t="s">
        <v>392</v>
      </c>
      <c r="BT15" s="2">
        <f>COUNTIF(Z256:Z261,"DM")</f>
        <v>0</v>
      </c>
      <c r="BU15" s="2" t="s">
        <v>392</v>
      </c>
    </row>
    <row r="16" spans="1:73" s="3" customFormat="1" ht="13.5" thickBot="1">
      <c r="A16" s="16" t="s">
        <v>4</v>
      </c>
      <c r="B16" s="12" t="s">
        <v>38</v>
      </c>
      <c r="C16" s="478" t="s">
        <v>6</v>
      </c>
      <c r="D16" s="478"/>
      <c r="E16" s="478"/>
      <c r="F16" s="17" t="s">
        <v>7</v>
      </c>
      <c r="G16" s="165" t="s">
        <v>4</v>
      </c>
      <c r="H16" s="12" t="s">
        <v>38</v>
      </c>
      <c r="I16" s="478" t="s">
        <v>6</v>
      </c>
      <c r="J16" s="478"/>
      <c r="K16" s="478"/>
      <c r="L16" s="166" t="s">
        <v>7</v>
      </c>
      <c r="M16" s="16" t="s">
        <v>4</v>
      </c>
      <c r="N16" s="12" t="s">
        <v>38</v>
      </c>
      <c r="O16" s="478" t="s">
        <v>6</v>
      </c>
      <c r="P16" s="478"/>
      <c r="Q16" s="478"/>
      <c r="R16" s="17" t="s">
        <v>7</v>
      </c>
      <c r="S16" s="165" t="s">
        <v>4</v>
      </c>
      <c r="T16" s="12" t="s">
        <v>38</v>
      </c>
      <c r="U16" s="478" t="s">
        <v>6</v>
      </c>
      <c r="V16" s="478"/>
      <c r="W16" s="478"/>
      <c r="X16" s="166" t="s">
        <v>7</v>
      </c>
      <c r="Y16" s="16" t="s">
        <v>4</v>
      </c>
      <c r="Z16" s="12" t="s">
        <v>38</v>
      </c>
      <c r="AA16" s="473" t="s">
        <v>6</v>
      </c>
      <c r="AB16" s="474"/>
      <c r="AC16" s="475"/>
      <c r="AD16" s="17" t="s">
        <v>7</v>
      </c>
      <c r="AG16" s="100" t="s">
        <v>78</v>
      </c>
      <c r="AH16" s="82" t="s">
        <v>5</v>
      </c>
      <c r="AI16" s="82" t="s">
        <v>5</v>
      </c>
      <c r="AJ16" s="82" t="s">
        <v>5</v>
      </c>
      <c r="AK16" s="101" t="s">
        <v>5</v>
      </c>
      <c r="AM16" s="187" t="s">
        <v>79</v>
      </c>
      <c r="AN16" s="140" t="s">
        <v>80</v>
      </c>
      <c r="AO16" s="140" t="s">
        <v>81</v>
      </c>
      <c r="AP16" s="140" t="s">
        <v>82</v>
      </c>
      <c r="AQ16" s="140" t="s">
        <v>83</v>
      </c>
      <c r="AR16" s="188"/>
      <c r="AV16" s="2">
        <f>COUNTIF(B268:B273,"DM")</f>
        <v>0</v>
      </c>
      <c r="AW16" s="2" t="s">
        <v>392</v>
      </c>
      <c r="BB16" s="2">
        <f>COUNTIF(H268:H273,"DM")</f>
        <v>0</v>
      </c>
      <c r="BC16" s="2" t="s">
        <v>392</v>
      </c>
      <c r="BH16" s="2">
        <f>COUNTIF(N268:N273,"DM")</f>
        <v>0</v>
      </c>
      <c r="BI16" s="2" t="s">
        <v>392</v>
      </c>
      <c r="BN16" s="2">
        <f>COUNTIF(T268:T273,"DM")</f>
        <v>0</v>
      </c>
      <c r="BO16" s="2" t="s">
        <v>392</v>
      </c>
      <c r="BT16" s="2">
        <f>COUNTIF(Z268:Z273,"DM")</f>
        <v>0</v>
      </c>
      <c r="BU16" s="2" t="s">
        <v>392</v>
      </c>
    </row>
    <row r="17" spans="1:73" s="1" customFormat="1" ht="13.5" thickBot="1">
      <c r="A17" s="201"/>
      <c r="B17" s="132" t="s">
        <v>10</v>
      </c>
      <c r="C17" s="461" t="str">
        <f>LOOKUP(A17,squad!$B$18:$B$59,squad!$D$18:$D$59)</f>
        <v> </v>
      </c>
      <c r="D17" s="461"/>
      <c r="E17" s="461"/>
      <c r="F17" s="51">
        <f>LOOKUP(A17,squad!$B$18:$B$59,squad!$S$18:$S$59)</f>
        <v>0</v>
      </c>
      <c r="G17" s="201"/>
      <c r="H17" s="132" t="s">
        <v>10</v>
      </c>
      <c r="I17" s="461" t="str">
        <f>LOOKUP(G17,squad!$B$18:$B$59,squad!$D$18:$D$59)</f>
        <v> </v>
      </c>
      <c r="J17" s="461"/>
      <c r="K17" s="471"/>
      <c r="L17" s="51">
        <f>LOOKUP(G17,squad!$B$18:$B$59,squad!$AO$18:$AO$59)</f>
        <v>0</v>
      </c>
      <c r="M17" s="201"/>
      <c r="N17" s="132" t="s">
        <v>10</v>
      </c>
      <c r="O17" s="461" t="str">
        <f>LOOKUP(M17,squad!$B$18:$B$59,squad!$D$18:$D$59)</f>
        <v> </v>
      </c>
      <c r="P17" s="461"/>
      <c r="Q17" s="471"/>
      <c r="R17" s="51">
        <f>LOOKUP(M17,squad!$B$18:$B$59,squad!$AY$18:$AY$59)</f>
        <v>0</v>
      </c>
      <c r="S17" s="201"/>
      <c r="T17" s="132" t="s">
        <v>10</v>
      </c>
      <c r="U17" s="461" t="str">
        <f>LOOKUP(S17,squad!$B$18:$B$59,squad!$D$18:$D$59)</f>
        <v> </v>
      </c>
      <c r="V17" s="461"/>
      <c r="W17" s="471"/>
      <c r="X17" s="51">
        <f>LOOKUP(S17,squad!$B$18:$B$59,squad!$BI$18:$BI$59)</f>
        <v>0</v>
      </c>
      <c r="Y17" s="208"/>
      <c r="Z17" s="132" t="s">
        <v>10</v>
      </c>
      <c r="AA17" s="461" t="str">
        <f>LOOKUP(Y17,squad!$B$18:$B$59,squad!$D$18:$D$59)</f>
        <v> </v>
      </c>
      <c r="AB17" s="461"/>
      <c r="AC17" s="471"/>
      <c r="AD17" s="51">
        <f>LOOKUP(Y17,squad!$B$18:$B$59,squad!$BS$18:$BS$59)</f>
        <v>0</v>
      </c>
      <c r="AE17" s="2"/>
      <c r="AF17" s="2"/>
      <c r="AG17" s="103">
        <f>LOOKUP(A17,squad!$B$18:$B$59,squad!$C$18:$C$59)</f>
        <v>0</v>
      </c>
      <c r="AH17" s="74">
        <f>LOOKUP(G17,squad!$B$18:$B$59,squad!$AB$18:$AB$59)</f>
        <v>0</v>
      </c>
      <c r="AI17" s="74">
        <f>LOOKUP(M17,squad!$B$18:$B$59,squad!$AC$18:$AC$59)</f>
        <v>0</v>
      </c>
      <c r="AJ17" s="74">
        <f>LOOKUP(S17,squad!$B$18:$B$59,squad!$AD$18:$AD$59)</f>
        <v>0</v>
      </c>
      <c r="AK17" s="104">
        <f>LOOKUP(Y17,squad!$B$18:$B$59,squad!$AE$18:$AE$59)</f>
        <v>0</v>
      </c>
      <c r="AL17" s="2"/>
      <c r="AM17" s="36">
        <f>COUNT(A18:A18)</f>
        <v>0</v>
      </c>
      <c r="AN17" s="4">
        <f>COUNT(G18:G18)</f>
        <v>0</v>
      </c>
      <c r="AO17" s="4">
        <f>COUNT(M18:M18)</f>
        <v>0</v>
      </c>
      <c r="AP17" s="4">
        <f>COUNT(S18:S18)</f>
        <v>0</v>
      </c>
      <c r="AQ17" s="4">
        <f>COUNT(Y18:Y18)</f>
        <v>0</v>
      </c>
      <c r="AR17" s="54" t="s">
        <v>11</v>
      </c>
      <c r="AS17" s="2"/>
      <c r="AT17" s="2"/>
      <c r="AU17" s="2"/>
      <c r="AV17" s="2">
        <f>COUNTIF(B256:B267,"LS")</f>
        <v>0</v>
      </c>
      <c r="AW17" s="2" t="s">
        <v>393</v>
      </c>
      <c r="AX17" s="2"/>
      <c r="AY17" s="2"/>
      <c r="AZ17" s="2"/>
      <c r="BA17" s="2"/>
      <c r="BB17" s="2">
        <f>COUNTIF(H256:H267,"LS")</f>
        <v>0</v>
      </c>
      <c r="BC17" s="2" t="s">
        <v>393</v>
      </c>
      <c r="BD17" s="2"/>
      <c r="BE17" s="2"/>
      <c r="BF17" s="2"/>
      <c r="BG17" s="2"/>
      <c r="BH17" s="2">
        <f>COUNTIF(N256:N267,"LS")</f>
        <v>0</v>
      </c>
      <c r="BI17" s="2" t="s">
        <v>393</v>
      </c>
      <c r="BJ17" s="2"/>
      <c r="BK17" s="2"/>
      <c r="BL17" s="2"/>
      <c r="BM17" s="2"/>
      <c r="BN17" s="2">
        <f>COUNTIF(T256:T267,"LS")</f>
        <v>0</v>
      </c>
      <c r="BO17" s="2" t="s">
        <v>393</v>
      </c>
      <c r="BT17" s="2">
        <f>COUNTIF(Z256:Z267,"LS")</f>
        <v>0</v>
      </c>
      <c r="BU17" s="2" t="s">
        <v>393</v>
      </c>
    </row>
    <row r="18" spans="1:72" ht="13.5" thickBot="1">
      <c r="A18" s="201"/>
      <c r="B18" s="132" t="s">
        <v>11</v>
      </c>
      <c r="C18" s="461" t="str">
        <f>LOOKUP(A18,squad!$B$18:$B$59,squad!$D$18:$D$59)</f>
        <v> </v>
      </c>
      <c r="D18" s="461"/>
      <c r="E18" s="461"/>
      <c r="F18" s="51">
        <f>LOOKUP(A18,squad!$B$18:$B$59,squad!$S$18:$S$59)</f>
        <v>0</v>
      </c>
      <c r="G18" s="201"/>
      <c r="H18" s="132" t="s">
        <v>11</v>
      </c>
      <c r="I18" s="461" t="str">
        <f>LOOKUP(G18,squad!$B$18:$B$59,squad!$D$18:$D$59)</f>
        <v> </v>
      </c>
      <c r="J18" s="461"/>
      <c r="K18" s="471"/>
      <c r="L18" s="51">
        <f>LOOKUP(G18,squad!$B$18:$B$59,squad!$AO$18:$AO$59)</f>
        <v>0</v>
      </c>
      <c r="M18" s="201"/>
      <c r="N18" s="132" t="s">
        <v>11</v>
      </c>
      <c r="O18" s="461" t="str">
        <f>LOOKUP(M18,squad!$B$18:$B$59,squad!$D$18:$D$59)</f>
        <v> </v>
      </c>
      <c r="P18" s="461"/>
      <c r="Q18" s="471"/>
      <c r="R18" s="51">
        <f>LOOKUP(M18,squad!$B$18:$B$59,squad!$AY$18:$AY$59)</f>
        <v>0</v>
      </c>
      <c r="S18" s="201"/>
      <c r="T18" s="132" t="s">
        <v>11</v>
      </c>
      <c r="U18" s="461" t="str">
        <f>LOOKUP(S18,squad!$B$18:$B$59,squad!$D$18:$D$59)</f>
        <v> </v>
      </c>
      <c r="V18" s="461"/>
      <c r="W18" s="471"/>
      <c r="X18" s="51">
        <f>LOOKUP(S18,squad!$B$18:$B$59,squad!$BI$18:$BI$59)</f>
        <v>0</v>
      </c>
      <c r="Y18" s="208"/>
      <c r="Z18" s="132" t="s">
        <v>11</v>
      </c>
      <c r="AA18" s="461" t="str">
        <f>LOOKUP(Y18,squad!$B$18:$B$59,squad!$D$18:$D$59)</f>
        <v> </v>
      </c>
      <c r="AB18" s="461"/>
      <c r="AC18" s="471"/>
      <c r="AD18" s="51">
        <f>LOOKUP(Y18,squad!$B$18:$B$59,squad!$BS$18:$BS$59)</f>
        <v>0</v>
      </c>
      <c r="AE18" s="3"/>
      <c r="AF18" s="3"/>
      <c r="AG18" s="103">
        <f>LOOKUP(A18,squad!$B$18:$B$59,squad!$C$18:$C$59)</f>
        <v>0</v>
      </c>
      <c r="AH18" s="74">
        <f>LOOKUP(G18,squad!$B$18:$B$59,squad!$AB$18:$AB$59)</f>
        <v>0</v>
      </c>
      <c r="AI18" s="74">
        <f>LOOKUP(M18,squad!$B$18:$B$59,squad!$AC$18:$AC$59)</f>
        <v>0</v>
      </c>
      <c r="AJ18" s="74">
        <f>LOOKUP(S18,squad!$B$18:$B$59,squad!$AD$18:$AD$59)</f>
        <v>0</v>
      </c>
      <c r="AK18" s="104">
        <f>LOOKUP(Y18,squad!$B$18:$B$59,squad!$AE$18:$AE$59)</f>
        <v>0</v>
      </c>
      <c r="AL18" s="3"/>
      <c r="AM18" s="36">
        <f>COUNT(A19:A24)</f>
        <v>0</v>
      </c>
      <c r="AN18" s="4">
        <f>COUNT(G19:G24)</f>
        <v>0</v>
      </c>
      <c r="AO18" s="4">
        <f>COUNT(M19:M24)</f>
        <v>0</v>
      </c>
      <c r="AP18" s="4">
        <f>COUNT(S19:S24)</f>
        <v>0</v>
      </c>
      <c r="AQ18" s="4">
        <f>COUNT(Y19:Y24)</f>
        <v>0</v>
      </c>
      <c r="AR18" s="54" t="s">
        <v>12</v>
      </c>
      <c r="AS18" s="3"/>
      <c r="AT18" s="3"/>
      <c r="AU18" s="3"/>
      <c r="AV18" s="3">
        <f>SUM(AV4:AV17)</f>
        <v>0</v>
      </c>
      <c r="AW18" s="3"/>
      <c r="AX18" s="3"/>
      <c r="AY18" s="3"/>
      <c r="AZ18" s="3"/>
      <c r="BA18" s="3"/>
      <c r="BB18" s="3">
        <f>SUM(BB4:BB17)</f>
        <v>0</v>
      </c>
      <c r="BC18" s="3"/>
      <c r="BD18" s="3"/>
      <c r="BE18" s="3"/>
      <c r="BF18" s="3"/>
      <c r="BG18" s="3"/>
      <c r="BH18" s="3">
        <f>SUM(BH4:BH17)</f>
        <v>0</v>
      </c>
      <c r="BI18" s="3"/>
      <c r="BJ18" s="3"/>
      <c r="BK18" s="3"/>
      <c r="BL18" s="3"/>
      <c r="BM18" s="3"/>
      <c r="BN18">
        <f>SUM(BN4:BN17)</f>
        <v>0</v>
      </c>
      <c r="BT18">
        <f>SUM(BT4:BT17)</f>
        <v>0</v>
      </c>
    </row>
    <row r="19" spans="1:65" ht="12.75">
      <c r="A19" s="202"/>
      <c r="B19" s="261">
        <f>IF(B234=-1,"@","")</f>
      </c>
      <c r="C19" s="469" t="str">
        <f>LOOKUP(A19,squad!$B$18:$B$59,squad!$D$18:$D$59)</f>
        <v> </v>
      </c>
      <c r="D19" s="469"/>
      <c r="E19" s="469"/>
      <c r="F19" s="53">
        <f>LOOKUP(A19,squad!$B$18:$B$59,squad!$S$18:$S$59)</f>
        <v>0</v>
      </c>
      <c r="G19" s="202"/>
      <c r="H19" s="137"/>
      <c r="I19" s="469" t="str">
        <f>LOOKUP(G19,squad!$B$18:$B$59,squad!$D$18:$D$59)</f>
        <v> </v>
      </c>
      <c r="J19" s="469"/>
      <c r="K19" s="341"/>
      <c r="L19" s="53">
        <f>LOOKUP(G19,squad!$B$18:$B$59,squad!$AO$18:$AO$59)</f>
        <v>0</v>
      </c>
      <c r="M19" s="202"/>
      <c r="N19" s="137"/>
      <c r="O19" s="469" t="str">
        <f>LOOKUP(M19,squad!$B$18:$B$59,squad!$D$18:$D$59)</f>
        <v> </v>
      </c>
      <c r="P19" s="469"/>
      <c r="Q19" s="341"/>
      <c r="R19" s="53">
        <f>LOOKUP(M19,squad!$B$18:$B$59,squad!$AY$18:$AY$59)</f>
        <v>0</v>
      </c>
      <c r="S19" s="202"/>
      <c r="T19" s="137"/>
      <c r="U19" s="469" t="str">
        <f>LOOKUP(S19,squad!$B$18:$B$59,squad!$D$18:$D$59)</f>
        <v> </v>
      </c>
      <c r="V19" s="469"/>
      <c r="W19" s="341"/>
      <c r="X19" s="53">
        <f>LOOKUP(S19,squad!$B$18:$B$59,squad!$BI$18:$BI$59)</f>
        <v>0</v>
      </c>
      <c r="Y19" s="209"/>
      <c r="Z19" s="137"/>
      <c r="AA19" s="469" t="str">
        <f>LOOKUP(Y19,squad!$B$18:$B$59,squad!$D$18:$D$59)</f>
        <v> </v>
      </c>
      <c r="AB19" s="469"/>
      <c r="AC19" s="341"/>
      <c r="AD19" s="53">
        <f>LOOKUP(Y19,squad!$B$18:$B$59,squad!$BS$18:$BS$59)</f>
        <v>0</v>
      </c>
      <c r="AE19" s="3"/>
      <c r="AF19" s="3"/>
      <c r="AG19" s="103">
        <f>LOOKUP(A19,squad!$B$18:$B$59,squad!$C$18:$C$59)</f>
        <v>0</v>
      </c>
      <c r="AH19" s="74">
        <f>LOOKUP(G19,squad!$B$18:$B$59,squad!$AB$18:$AB$59)</f>
        <v>0</v>
      </c>
      <c r="AI19" s="74">
        <f>LOOKUP(M19,squad!$B$18:$B$59,squad!$AC$18:$AC$59)</f>
        <v>0</v>
      </c>
      <c r="AJ19" s="74">
        <f>LOOKUP(S19,squad!$B$18:$B$59,squad!$AD$18:$AD$59)</f>
        <v>0</v>
      </c>
      <c r="AK19" s="104">
        <f>LOOKUP(Y19,squad!$B$18:$B$59,squad!$AE$18:$AE$59)</f>
        <v>0</v>
      </c>
      <c r="AL19" s="3"/>
      <c r="AM19" s="36">
        <f>COUNT(A25:A30)</f>
        <v>0</v>
      </c>
      <c r="AN19" s="4">
        <f>COUNT(G25:G30)</f>
        <v>0</v>
      </c>
      <c r="AO19" s="4">
        <f>COUNT(M25:M30)</f>
        <v>0</v>
      </c>
      <c r="AP19" s="4">
        <f>COUNT(S25:S30)</f>
        <v>0</v>
      </c>
      <c r="AQ19" s="4">
        <f>COUNT(Y25:Y30)</f>
        <v>0</v>
      </c>
      <c r="AR19" s="54" t="s">
        <v>13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13.5" thickBot="1">
      <c r="A20" s="202"/>
      <c r="B20" s="135" t="str">
        <f>IF(B235=-1,"@D","D")</f>
        <v>D</v>
      </c>
      <c r="C20" s="373" t="str">
        <f>LOOKUP(A20,squad!$B$18:$B$59,squad!$D$18:$D$59)</f>
        <v> </v>
      </c>
      <c r="D20" s="373"/>
      <c r="E20" s="373"/>
      <c r="F20" s="54">
        <f>LOOKUP(A20,squad!$B$18:$B$59,squad!$S$18:$S$59)</f>
        <v>0</v>
      </c>
      <c r="G20" s="202"/>
      <c r="H20" s="135" t="s">
        <v>298</v>
      </c>
      <c r="I20" s="373" t="str">
        <f>LOOKUP(G20,squad!$B$18:$B$59,squad!$D$18:$D$59)</f>
        <v> </v>
      </c>
      <c r="J20" s="373"/>
      <c r="K20" s="381"/>
      <c r="L20" s="54">
        <f>LOOKUP(G20,squad!$B$18:$B$59,squad!$AO$18:$AO$59)</f>
        <v>0</v>
      </c>
      <c r="M20" s="202"/>
      <c r="N20" s="135" t="s">
        <v>298</v>
      </c>
      <c r="O20" s="373" t="str">
        <f>LOOKUP(M20,squad!$B$18:$B$59,squad!$D$18:$D$59)</f>
        <v> </v>
      </c>
      <c r="P20" s="373"/>
      <c r="Q20" s="381"/>
      <c r="R20" s="54">
        <f>LOOKUP(M20,squad!$B$18:$B$59,squad!$AY$18:$AY$59)</f>
        <v>0</v>
      </c>
      <c r="S20" s="202"/>
      <c r="T20" s="135" t="s">
        <v>298</v>
      </c>
      <c r="U20" s="373" t="str">
        <f>LOOKUP(S20,squad!$B$18:$B$59,squad!$D$18:$D$59)</f>
        <v> </v>
      </c>
      <c r="V20" s="373"/>
      <c r="W20" s="381"/>
      <c r="X20" s="54">
        <f>LOOKUP(S20,squad!$B$18:$B$59,squad!$BI$18:$BI$59)</f>
        <v>0</v>
      </c>
      <c r="Y20" s="209"/>
      <c r="Z20" s="135" t="s">
        <v>298</v>
      </c>
      <c r="AA20" s="373" t="str">
        <f>LOOKUP(Y20,squad!$B$18:$B$59,squad!$D$18:$D$59)</f>
        <v> </v>
      </c>
      <c r="AB20" s="373"/>
      <c r="AC20" s="381"/>
      <c r="AD20" s="54">
        <f>LOOKUP(Y20,squad!$B$18:$B$59,squad!$BS$18:$BS$59)</f>
        <v>0</v>
      </c>
      <c r="AE20" s="3"/>
      <c r="AF20" s="3"/>
      <c r="AG20" s="103">
        <f>LOOKUP(A20,squad!$B$18:$B$59,squad!$C$18:$C$59)</f>
        <v>0</v>
      </c>
      <c r="AH20" s="74">
        <f>LOOKUP(G20,squad!$B$18:$B$59,squad!$AB$18:$AB$59)</f>
        <v>0</v>
      </c>
      <c r="AI20" s="74">
        <f>LOOKUP(M20,squad!$B$18:$B$59,squad!$AC$18:$AC$59)</f>
        <v>0</v>
      </c>
      <c r="AJ20" s="74">
        <f>LOOKUP(S20,squad!$B$18:$B$59,squad!$AD$18:$AD$59)</f>
        <v>0</v>
      </c>
      <c r="AK20" s="104">
        <f>LOOKUP(Y20,squad!$B$18:$B$59,squad!$AE$18:$AE$59)</f>
        <v>0</v>
      </c>
      <c r="AL20" s="3"/>
      <c r="AM20" s="131">
        <f>COUNT(A31:A36)</f>
        <v>0</v>
      </c>
      <c r="AN20" s="84">
        <f>COUNT(G31:G36)</f>
        <v>0</v>
      </c>
      <c r="AO20" s="84">
        <f>COUNT(M31:M36)</f>
        <v>0</v>
      </c>
      <c r="AP20" s="84">
        <f>COUNT(S31:S36)</f>
        <v>0</v>
      </c>
      <c r="AQ20" s="84">
        <f>COUNT(Y31:Y36)</f>
        <v>0</v>
      </c>
      <c r="AR20" s="55" t="s">
        <v>14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2.75">
      <c r="A21" s="202"/>
      <c r="B21" s="135" t="str">
        <f>IF(B236=-1,"@E","E")</f>
        <v>E</v>
      </c>
      <c r="C21" s="373" t="str">
        <f>LOOKUP(A21,squad!$B$18:$B$59,squad!$D$18:$D$59)</f>
        <v> </v>
      </c>
      <c r="D21" s="373"/>
      <c r="E21" s="373"/>
      <c r="F21" s="54">
        <f>LOOKUP(A21,squad!$B$18:$B$59,squad!$S$18:$S$59)</f>
        <v>0</v>
      </c>
      <c r="G21" s="202"/>
      <c r="H21" s="135" t="s">
        <v>299</v>
      </c>
      <c r="I21" s="373" t="str">
        <f>LOOKUP(G21,squad!$B$18:$B$59,squad!$D$18:$D$59)</f>
        <v> </v>
      </c>
      <c r="J21" s="373"/>
      <c r="K21" s="381"/>
      <c r="L21" s="54">
        <f>LOOKUP(G21,squad!$B$18:$B$59,squad!$AO$18:$AO$59)</f>
        <v>0</v>
      </c>
      <c r="M21" s="202"/>
      <c r="N21" s="135" t="s">
        <v>299</v>
      </c>
      <c r="O21" s="373" t="str">
        <f>LOOKUP(M21,squad!$B$18:$B$59,squad!$D$18:$D$59)</f>
        <v> </v>
      </c>
      <c r="P21" s="373"/>
      <c r="Q21" s="381"/>
      <c r="R21" s="54">
        <f>LOOKUP(M21,squad!$B$18:$B$59,squad!$AY$18:$AY$59)</f>
        <v>0</v>
      </c>
      <c r="S21" s="202"/>
      <c r="T21" s="135" t="s">
        <v>299</v>
      </c>
      <c r="U21" s="373" t="str">
        <f>LOOKUP(S21,squad!$B$18:$B$59,squad!$D$18:$D$59)</f>
        <v> </v>
      </c>
      <c r="V21" s="373"/>
      <c r="W21" s="381"/>
      <c r="X21" s="54">
        <f>LOOKUP(S21,squad!$B$18:$B$59,squad!$BI$18:$BI$59)</f>
        <v>0</v>
      </c>
      <c r="Y21" s="209"/>
      <c r="Z21" s="135" t="s">
        <v>299</v>
      </c>
      <c r="AA21" s="373" t="str">
        <f>LOOKUP(Y21,squad!$B$18:$B$59,squad!$D$18:$D$59)</f>
        <v> </v>
      </c>
      <c r="AB21" s="373"/>
      <c r="AC21" s="381"/>
      <c r="AD21" s="54">
        <f>LOOKUP(Y21,squad!$B$18:$B$59,squad!$BS$18:$BS$59)</f>
        <v>0</v>
      </c>
      <c r="AE21" s="3"/>
      <c r="AF21" s="3"/>
      <c r="AG21" s="103">
        <f>LOOKUP(A21,squad!$B$18:$B$59,squad!$C$18:$C$59)</f>
        <v>0</v>
      </c>
      <c r="AH21" s="74">
        <f>LOOKUP(G21,squad!$B$18:$B$59,squad!$AB$18:$AB$59)</f>
        <v>0</v>
      </c>
      <c r="AI21" s="74">
        <f>LOOKUP(M21,squad!$B$18:$B$59,squad!$AC$18:$AC$59)</f>
        <v>0</v>
      </c>
      <c r="AJ21" s="74">
        <f>LOOKUP(S21,squad!$B$18:$B$59,squad!$AD$18:$AD$59)</f>
        <v>0</v>
      </c>
      <c r="AK21" s="104">
        <f>LOOKUP(Y21,squad!$B$18:$B$59,squad!$AE$18:$AE$59)</f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12.75">
      <c r="A22" s="202"/>
      <c r="B22" s="135" t="str">
        <f>IF(B237=-1,"@F","F")</f>
        <v>F</v>
      </c>
      <c r="C22" s="373" t="str">
        <f>LOOKUP(A22,squad!$B$18:$B$59,squad!$D$18:$D$59)</f>
        <v> </v>
      </c>
      <c r="D22" s="373"/>
      <c r="E22" s="373"/>
      <c r="F22" s="54">
        <f>LOOKUP(A22,squad!$B$18:$B$59,squad!$S$18:$S$59)</f>
        <v>0</v>
      </c>
      <c r="G22" s="202"/>
      <c r="H22" s="135" t="s">
        <v>300</v>
      </c>
      <c r="I22" s="373" t="str">
        <f>LOOKUP(G22,squad!$B$18:$B$59,squad!$D$18:$D$59)</f>
        <v> </v>
      </c>
      <c r="J22" s="373"/>
      <c r="K22" s="381"/>
      <c r="L22" s="54">
        <f>LOOKUP(G22,squad!$B$18:$B$59,squad!$AO$18:$AO$59)</f>
        <v>0</v>
      </c>
      <c r="M22" s="202"/>
      <c r="N22" s="135" t="s">
        <v>300</v>
      </c>
      <c r="O22" s="373" t="str">
        <f>LOOKUP(M22,squad!$B$18:$B$59,squad!$D$18:$D$59)</f>
        <v> </v>
      </c>
      <c r="P22" s="373"/>
      <c r="Q22" s="381"/>
      <c r="R22" s="54">
        <f>LOOKUP(M22,squad!$B$18:$B$59,squad!$AY$18:$AY$59)</f>
        <v>0</v>
      </c>
      <c r="S22" s="202"/>
      <c r="T22" s="135" t="s">
        <v>300</v>
      </c>
      <c r="U22" s="373" t="str">
        <f>LOOKUP(S22,squad!$B$18:$B$59,squad!$D$18:$D$59)</f>
        <v> </v>
      </c>
      <c r="V22" s="373"/>
      <c r="W22" s="381"/>
      <c r="X22" s="54">
        <f>LOOKUP(S22,squad!$B$18:$B$59,squad!$BI$18:$BI$59)</f>
        <v>0</v>
      </c>
      <c r="Y22" s="209"/>
      <c r="Z22" s="135" t="s">
        <v>300</v>
      </c>
      <c r="AA22" s="373" t="str">
        <f>LOOKUP(Y22,squad!$B$18:$B$59,squad!$D$18:$D$59)</f>
        <v> </v>
      </c>
      <c r="AB22" s="373"/>
      <c r="AC22" s="381"/>
      <c r="AD22" s="54">
        <f>LOOKUP(Y22,squad!$B$18:$B$59,squad!$BS$18:$BS$59)</f>
        <v>0</v>
      </c>
      <c r="AE22" s="3"/>
      <c r="AF22" s="3"/>
      <c r="AG22" s="103">
        <f>LOOKUP(A22,squad!$B$18:$B$59,squad!$C$18:$C$59)</f>
        <v>0</v>
      </c>
      <c r="AH22" s="74">
        <f>LOOKUP(G22,squad!$B$18:$B$59,squad!$AB$18:$AB$59)</f>
        <v>0</v>
      </c>
      <c r="AI22" s="74">
        <f>LOOKUP(M22,squad!$B$18:$B$59,squad!$AC$18:$AC$59)</f>
        <v>0</v>
      </c>
      <c r="AJ22" s="74">
        <f>LOOKUP(S22,squad!$B$18:$B$59,squad!$AD$18:$AD$59)</f>
        <v>0</v>
      </c>
      <c r="AK22" s="104">
        <f>LOOKUP(Y22,squad!$B$18:$B$59,squad!$AE$18:$AE$59)</f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12.75">
      <c r="A23" s="203"/>
      <c r="B23" s="135">
        <f aca="true" t="shared" si="0" ref="B23:B36">IF(B238=-1,"@","")</f>
      </c>
      <c r="C23" s="373" t="str">
        <f>LOOKUP(A23,squad!$B$18:$B$59,squad!$D$18:$D$59)</f>
        <v> </v>
      </c>
      <c r="D23" s="373"/>
      <c r="E23" s="373"/>
      <c r="F23" s="54">
        <f>LOOKUP(A23,squad!$B$18:$B$59,squad!$S$18:$S$59)</f>
        <v>0</v>
      </c>
      <c r="G23" s="203"/>
      <c r="H23" s="135">
        <f>IF((H169+I169)=0,"","#")</f>
      </c>
      <c r="I23" s="373" t="str">
        <f>LOOKUP(G23,squad!$B$18:$B$59,squad!$D$18:$D$59)</f>
        <v> </v>
      </c>
      <c r="J23" s="373"/>
      <c r="K23" s="381"/>
      <c r="L23" s="54">
        <f>LOOKUP(G23,squad!$B$18:$B$59,squad!$AO$18:$AO$59)</f>
        <v>0</v>
      </c>
      <c r="M23" s="203"/>
      <c r="N23" s="135">
        <f>IF((N169+O169)=0,"","#")</f>
      </c>
      <c r="O23" s="373" t="str">
        <f>LOOKUP(M23,squad!$B$18:$B$59,squad!$D$18:$D$59)</f>
        <v> </v>
      </c>
      <c r="P23" s="373"/>
      <c r="Q23" s="381"/>
      <c r="R23" s="54">
        <f>LOOKUP(M23,squad!$B$18:$B$59,squad!$AY$18:$AY$59)</f>
        <v>0</v>
      </c>
      <c r="S23" s="203"/>
      <c r="T23" s="135">
        <f>IF((T169+U169)=0,"","#")</f>
      </c>
      <c r="U23" s="373" t="str">
        <f>LOOKUP(S23,squad!$B$18:$B$59,squad!$D$18:$D$59)</f>
        <v> </v>
      </c>
      <c r="V23" s="373"/>
      <c r="W23" s="381"/>
      <c r="X23" s="54">
        <f>LOOKUP(S23,squad!$B$18:$B$59,squad!$BI$18:$BI$59)</f>
        <v>0</v>
      </c>
      <c r="Y23" s="199"/>
      <c r="Z23" s="135">
        <f>IF((Z169+AA169)=0,"","#")</f>
      </c>
      <c r="AA23" s="373" t="str">
        <f>LOOKUP(Y23,squad!$B$18:$B$59,squad!$D$18:$D$59)</f>
        <v> </v>
      </c>
      <c r="AB23" s="373"/>
      <c r="AC23" s="381"/>
      <c r="AD23" s="54">
        <f>LOOKUP(Y23,squad!$B$18:$B$59,squad!$BS$18:$BS$59)</f>
        <v>0</v>
      </c>
      <c r="AE23" s="3"/>
      <c r="AF23" s="3"/>
      <c r="AG23" s="103">
        <f>LOOKUP(A23,squad!$B$18:$B$59,squad!$C$18:$C$59)</f>
        <v>0</v>
      </c>
      <c r="AH23" s="74">
        <f>LOOKUP(G23,squad!$B$18:$B$59,squad!$AB$18:$AB$59)</f>
        <v>0</v>
      </c>
      <c r="AI23" s="74">
        <f>LOOKUP(M23,squad!$B$18:$B$59,squad!$AC$18:$AC$59)</f>
        <v>0</v>
      </c>
      <c r="AJ23" s="74">
        <f>LOOKUP(S23,squad!$B$18:$B$59,squad!$AD$18:$AD$59)</f>
        <v>0</v>
      </c>
      <c r="AK23" s="104">
        <f>LOOKUP(Y23,squad!$B$18:$B$59,squad!$AE$18:$AE$59)</f>
        <v>0</v>
      </c>
      <c r="AL23" s="3"/>
      <c r="AM23" s="3">
        <f>COUNTIF(AG18:AG36,"GK")</f>
        <v>0</v>
      </c>
      <c r="AN23" s="3">
        <f>COUNTIF(AH18:AH36,"GK")</f>
        <v>0</v>
      </c>
      <c r="AO23" s="3">
        <f>COUNTIF(AI18:AI36,"GK")</f>
        <v>0</v>
      </c>
      <c r="AP23" s="3">
        <f>COUNTIF(AJ18:AJ36,"GK")</f>
        <v>0</v>
      </c>
      <c r="AQ23" s="3">
        <f>COUNTIF(AK18:AK36,"GK")</f>
        <v>0</v>
      </c>
      <c r="AR23" s="42" t="s">
        <v>10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3.5" thickBot="1">
      <c r="A24" s="204"/>
      <c r="B24" s="261">
        <f t="shared" si="0"/>
      </c>
      <c r="C24" s="470" t="str">
        <f>LOOKUP(A24,squad!$B$18:$B$59,squad!$D$18:$D$59)</f>
        <v> </v>
      </c>
      <c r="D24" s="470"/>
      <c r="E24" s="470"/>
      <c r="F24" s="60">
        <f>LOOKUP(A24,squad!$B$18:$B$59,squad!$S$18:$S$59)</f>
        <v>0</v>
      </c>
      <c r="G24" s="204"/>
      <c r="H24" s="138"/>
      <c r="I24" s="470" t="str">
        <f>LOOKUP(G24,squad!$B$18:$B$59,squad!$D$18:$D$59)</f>
        <v> </v>
      </c>
      <c r="J24" s="470"/>
      <c r="K24" s="323"/>
      <c r="L24" s="60">
        <f>LOOKUP(G24,squad!$B$18:$B$59,squad!$AO$18:$AO$59)</f>
        <v>0</v>
      </c>
      <c r="M24" s="204"/>
      <c r="N24" s="138"/>
      <c r="O24" s="470" t="str">
        <f>LOOKUP(M24,squad!$B$18:$B$59,squad!$D$18:$D$59)</f>
        <v> </v>
      </c>
      <c r="P24" s="470"/>
      <c r="Q24" s="323"/>
      <c r="R24" s="60">
        <f>LOOKUP(M24,squad!$B$18:$B$59,squad!$AY$18:$AY$59)</f>
        <v>0</v>
      </c>
      <c r="S24" s="204"/>
      <c r="T24" s="138"/>
      <c r="U24" s="470" t="str">
        <f>LOOKUP(S24,squad!$B$18:$B$59,squad!$D$18:$D$59)</f>
        <v> </v>
      </c>
      <c r="V24" s="470"/>
      <c r="W24" s="323"/>
      <c r="X24" s="60">
        <f>LOOKUP(S24,squad!$B$18:$B$59,squad!$BI$18:$BI$59)</f>
        <v>0</v>
      </c>
      <c r="Y24" s="210"/>
      <c r="Z24" s="138"/>
      <c r="AA24" s="470" t="str">
        <f>LOOKUP(Y24,squad!$B$18:$B$59,squad!$D$18:$D$59)</f>
        <v> </v>
      </c>
      <c r="AB24" s="470"/>
      <c r="AC24" s="323"/>
      <c r="AD24" s="60">
        <f>LOOKUP(Y24,squad!$B$18:$B$59,squad!$BS$18:$BS$59)</f>
        <v>0</v>
      </c>
      <c r="AE24" s="3"/>
      <c r="AF24" s="3"/>
      <c r="AG24" s="103">
        <f>LOOKUP(A24,squad!$B$18:$B$59,squad!$C$18:$C$59)</f>
        <v>0</v>
      </c>
      <c r="AH24" s="74">
        <f>LOOKUP(G24,squad!$B$18:$B$59,squad!$AB$18:$AB$59)</f>
        <v>0</v>
      </c>
      <c r="AI24" s="74">
        <f>LOOKUP(M24,squad!$B$18:$B$59,squad!$AC$18:$AC$59)</f>
        <v>0</v>
      </c>
      <c r="AJ24" s="74">
        <f>LOOKUP(S24,squad!$B$18:$B$59,squad!$AD$18:$AD$59)</f>
        <v>0</v>
      </c>
      <c r="AK24" s="104">
        <f>LOOKUP(Y24,squad!$B$18:$B$59,squad!$AE$18:$AE$59)</f>
        <v>0</v>
      </c>
      <c r="AL24" s="3"/>
      <c r="AM24" s="3">
        <f>COUNTIF(AG18:AG36,"GS")</f>
        <v>0</v>
      </c>
      <c r="AN24" s="3">
        <f>COUNTIF(AH18:AH36,"GS")</f>
        <v>0</v>
      </c>
      <c r="AO24" s="3">
        <f>COUNTIF(AI18:AI36,"GS")</f>
        <v>0</v>
      </c>
      <c r="AP24" s="3">
        <f>COUNTIF(AJ18:AJ36,"GS")</f>
        <v>0</v>
      </c>
      <c r="AQ24" s="3">
        <f>COUNTIF(AK18:AK36,"GS")</f>
        <v>0</v>
      </c>
      <c r="AR24" s="42" t="s">
        <v>89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2.75">
      <c r="A25" s="205"/>
      <c r="B25" s="133">
        <f t="shared" si="0"/>
      </c>
      <c r="C25" s="476" t="str">
        <f>LOOKUP(A25,squad!$B$18:$B$59,squad!$D$18:$D$59)</f>
        <v> </v>
      </c>
      <c r="D25" s="476"/>
      <c r="E25" s="476"/>
      <c r="F25" s="52">
        <f>LOOKUP(A25,squad!$B$18:$B$59,squad!$S$18:$S$59)</f>
        <v>0</v>
      </c>
      <c r="G25" s="205"/>
      <c r="H25" s="134"/>
      <c r="I25" s="476" t="str">
        <f>LOOKUP(G25,squad!$B$18:$B$59,squad!$D$18:$D$59)</f>
        <v> </v>
      </c>
      <c r="J25" s="476"/>
      <c r="K25" s="477"/>
      <c r="L25" s="52">
        <f>LOOKUP(G25,squad!$B$18:$B$59,squad!$AO$18:$AO$59)</f>
        <v>0</v>
      </c>
      <c r="M25" s="205"/>
      <c r="N25" s="134"/>
      <c r="O25" s="476" t="str">
        <f>LOOKUP(M25,squad!$B$18:$B$59,squad!$D$18:$D$59)</f>
        <v> </v>
      </c>
      <c r="P25" s="476"/>
      <c r="Q25" s="477"/>
      <c r="R25" s="52">
        <f>LOOKUP(M25,squad!$B$18:$B$59,squad!$AY$18:$AY$59)</f>
        <v>0</v>
      </c>
      <c r="S25" s="205"/>
      <c r="T25" s="134"/>
      <c r="U25" s="476" t="str">
        <f>LOOKUP(S25,squad!$B$18:$B$59,squad!$D$18:$D$59)</f>
        <v> </v>
      </c>
      <c r="V25" s="476"/>
      <c r="W25" s="477"/>
      <c r="X25" s="52">
        <f>LOOKUP(S25,squad!$B$18:$B$59,squad!$BI$18:$BI$59)</f>
        <v>0</v>
      </c>
      <c r="Y25" s="211"/>
      <c r="Z25" s="134"/>
      <c r="AA25" s="476" t="str">
        <f>LOOKUP(Y25,squad!$B$18:$B$59,squad!$D$18:$D$59)</f>
        <v> </v>
      </c>
      <c r="AB25" s="476"/>
      <c r="AC25" s="477"/>
      <c r="AD25" s="52">
        <f>LOOKUP(Y25,squad!$B$18:$B$59,squad!$BS$18:$BS$59)</f>
        <v>0</v>
      </c>
      <c r="AE25" s="3"/>
      <c r="AF25" s="3"/>
      <c r="AG25" s="103">
        <f>LOOKUP(A25,squad!$B$18:$B$59,squad!$C$18:$C$59)</f>
        <v>0</v>
      </c>
      <c r="AH25" s="74">
        <f>LOOKUP(G25,squad!$B$18:$B$59,squad!$AB$18:$AB$59)</f>
        <v>0</v>
      </c>
      <c r="AI25" s="74">
        <f>LOOKUP(M25,squad!$B$18:$B$59,squad!$AC$18:$AC$59)</f>
        <v>0</v>
      </c>
      <c r="AJ25" s="74">
        <f>LOOKUP(S25,squad!$B$18:$B$59,squad!$AD$18:$AD$59)</f>
        <v>0</v>
      </c>
      <c r="AK25" s="104">
        <f>LOOKUP(Y25,squad!$B$18:$B$59,squad!$AE$18:$AE$59)</f>
        <v>0</v>
      </c>
      <c r="AL25" s="3"/>
      <c r="AM25" s="3">
        <f>COUNTIF(AG17:AG18,"FB")</f>
        <v>0</v>
      </c>
      <c r="AN25" s="3">
        <f>COUNTIF(AH17:AH18,"FB")</f>
        <v>0</v>
      </c>
      <c r="AO25" s="3">
        <f>COUNTIF(AI17:AI18,"FB")</f>
        <v>0</v>
      </c>
      <c r="AP25" s="3">
        <f>COUNTIF(AJ17:AJ18,"FB")</f>
        <v>0</v>
      </c>
      <c r="AQ25" s="3">
        <f>COUNTIF(AK17:AK18,"FB")</f>
        <v>0</v>
      </c>
      <c r="AR25" s="42" t="s">
        <v>181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2.75">
      <c r="A26" s="202"/>
      <c r="B26" s="135" t="str">
        <f>IF(B241=-1,"@M","M")</f>
        <v>M</v>
      </c>
      <c r="C26" s="373" t="str">
        <f>LOOKUP(A26,squad!$B$18:$B$59,squad!$D$18:$D$59)</f>
        <v> </v>
      </c>
      <c r="D26" s="373"/>
      <c r="E26" s="373"/>
      <c r="F26" s="54">
        <f>LOOKUP(A26,squad!$B$18:$B$59,squad!$S$18:$S$59)</f>
        <v>0</v>
      </c>
      <c r="G26" s="202"/>
      <c r="H26" s="135" t="s">
        <v>301</v>
      </c>
      <c r="I26" s="373" t="str">
        <f>LOOKUP(G26,squad!$B$18:$B$59,squad!$D$18:$D$59)</f>
        <v> </v>
      </c>
      <c r="J26" s="373"/>
      <c r="K26" s="381"/>
      <c r="L26" s="54">
        <f>LOOKUP(G26,squad!$B$18:$B$59,squad!$AO$18:$AO$59)</f>
        <v>0</v>
      </c>
      <c r="M26" s="202"/>
      <c r="N26" s="135" t="s">
        <v>301</v>
      </c>
      <c r="O26" s="373" t="str">
        <f>LOOKUP(M26,squad!$B$18:$B$59,squad!$D$18:$D$59)</f>
        <v> </v>
      </c>
      <c r="P26" s="373"/>
      <c r="Q26" s="381"/>
      <c r="R26" s="54">
        <f>LOOKUP(M26,squad!$B$18:$B$59,squad!$AY$18:$AY$59)</f>
        <v>0</v>
      </c>
      <c r="S26" s="202"/>
      <c r="T26" s="135" t="s">
        <v>301</v>
      </c>
      <c r="U26" s="373" t="str">
        <f>LOOKUP(S26,squad!$B$18:$B$59,squad!$D$18:$D$59)</f>
        <v> </v>
      </c>
      <c r="V26" s="373"/>
      <c r="W26" s="381"/>
      <c r="X26" s="54">
        <f>LOOKUP(S26,squad!$B$18:$B$59,squad!$BI$18:$BI$59)</f>
        <v>0</v>
      </c>
      <c r="Y26" s="209"/>
      <c r="Z26" s="135" t="s">
        <v>301</v>
      </c>
      <c r="AA26" s="373" t="str">
        <f>LOOKUP(Y26,squad!$B$18:$B$59,squad!$D$18:$D$59)</f>
        <v> </v>
      </c>
      <c r="AB26" s="373"/>
      <c r="AC26" s="381"/>
      <c r="AD26" s="54">
        <f>LOOKUP(Y26,squad!$B$18:$B$59,squad!$BS$18:$BS$59)</f>
        <v>0</v>
      </c>
      <c r="AE26" s="3"/>
      <c r="AF26" s="3"/>
      <c r="AG26" s="103">
        <f>LOOKUP(A26,squad!$B$18:$B$59,squad!$C$18:$C$59)</f>
        <v>0</v>
      </c>
      <c r="AH26" s="74">
        <f>LOOKUP(G26,squad!$B$18:$B$59,squad!$AB$18:$AB$59)</f>
        <v>0</v>
      </c>
      <c r="AI26" s="74">
        <f>LOOKUP(M26,squad!$B$18:$B$59,squad!$AC$18:$AC$59)</f>
        <v>0</v>
      </c>
      <c r="AJ26" s="74">
        <f>LOOKUP(S26,squad!$B$18:$B$59,squad!$AD$18:$AD$59)</f>
        <v>0</v>
      </c>
      <c r="AK26" s="104">
        <f>LOOKUP(Y26,squad!$B$18:$B$59,squad!$AE$18:$AE$59)</f>
        <v>0</v>
      </c>
      <c r="AL26" s="3"/>
      <c r="AM26" s="3">
        <f>COUNTIF(AG25:AG36,"FB")</f>
        <v>0</v>
      </c>
      <c r="AN26" s="3">
        <f>COUNTIF(AH25:AH36,"FB")</f>
        <v>0</v>
      </c>
      <c r="AO26" s="3">
        <f>COUNTIF(AI25:AI36,"FB")</f>
        <v>0</v>
      </c>
      <c r="AP26" s="3">
        <f>COUNTIF(AJ25:AJ36,"FB")</f>
        <v>0</v>
      </c>
      <c r="AQ26" s="3">
        <f>COUNTIF(AK25:AK36,"FB")</f>
        <v>0</v>
      </c>
      <c r="AR26" s="42" t="s">
        <v>180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2.75">
      <c r="A27" s="202"/>
      <c r="B27" s="135" t="str">
        <f>IF(B242=-1,"@I","I")</f>
        <v>I</v>
      </c>
      <c r="C27" s="373" t="str">
        <f>LOOKUP(A27,squad!$B$18:$B$59,squad!$D$18:$D$59)</f>
        <v> </v>
      </c>
      <c r="D27" s="373"/>
      <c r="E27" s="373"/>
      <c r="F27" s="54">
        <f>LOOKUP(A27,squad!$B$18:$B$59,squad!$S$18:$S$59)</f>
        <v>0</v>
      </c>
      <c r="G27" s="202"/>
      <c r="H27" s="135" t="s">
        <v>252</v>
      </c>
      <c r="I27" s="373" t="str">
        <f>LOOKUP(G27,squad!$B$18:$B$59,squad!$D$18:$D$59)</f>
        <v> </v>
      </c>
      <c r="J27" s="373"/>
      <c r="K27" s="381"/>
      <c r="L27" s="54">
        <f>LOOKUP(G27,squad!$B$18:$B$59,squad!$AO$18:$AO$59)</f>
        <v>0</v>
      </c>
      <c r="M27" s="202"/>
      <c r="N27" s="135" t="s">
        <v>252</v>
      </c>
      <c r="O27" s="373" t="str">
        <f>LOOKUP(M27,squad!$B$18:$B$59,squad!$D$18:$D$59)</f>
        <v> </v>
      </c>
      <c r="P27" s="373"/>
      <c r="Q27" s="381"/>
      <c r="R27" s="54">
        <f>LOOKUP(M27,squad!$B$18:$B$59,squad!$AY$18:$AY$59)</f>
        <v>0</v>
      </c>
      <c r="S27" s="202"/>
      <c r="T27" s="135" t="s">
        <v>252</v>
      </c>
      <c r="U27" s="373" t="str">
        <f>LOOKUP(S27,squad!$B$18:$B$59,squad!$D$18:$D$59)</f>
        <v> </v>
      </c>
      <c r="V27" s="373"/>
      <c r="W27" s="381"/>
      <c r="X27" s="54">
        <f>LOOKUP(S27,squad!$B$18:$B$59,squad!$BI$18:$BI$59)</f>
        <v>0</v>
      </c>
      <c r="Y27" s="209"/>
      <c r="Z27" s="135" t="s">
        <v>252</v>
      </c>
      <c r="AA27" s="373" t="str">
        <f>LOOKUP(Y27,squad!$B$18:$B$59,squad!$D$18:$D$59)</f>
        <v> </v>
      </c>
      <c r="AB27" s="373"/>
      <c r="AC27" s="381"/>
      <c r="AD27" s="54">
        <f>LOOKUP(Y27,squad!$B$18:$B$59,squad!$BS$18:$BS$59)</f>
        <v>0</v>
      </c>
      <c r="AE27" s="3"/>
      <c r="AF27" s="3"/>
      <c r="AG27" s="103">
        <f>LOOKUP(A27,squad!$B$18:$B$59,squad!$C$18:$C$59)</f>
        <v>0</v>
      </c>
      <c r="AH27" s="74">
        <f>LOOKUP(G27,squad!$B$18:$B$59,squad!$AB$18:$AB$59)</f>
        <v>0</v>
      </c>
      <c r="AI27" s="74">
        <f>LOOKUP(M27,squad!$B$18:$B$59,squad!$AC$18:$AC$59)</f>
        <v>0</v>
      </c>
      <c r="AJ27" s="74">
        <f>LOOKUP(S27,squad!$B$18:$B$59,squad!$AD$18:$AD$59)</f>
        <v>0</v>
      </c>
      <c r="AK27" s="104">
        <f>LOOKUP(Y27,squad!$B$18:$B$59,squad!$AE$18:$AE$59)</f>
        <v>0</v>
      </c>
      <c r="AL27" s="3"/>
      <c r="AM27" s="3">
        <f>SUM(AM25:AM26)</f>
        <v>0</v>
      </c>
      <c r="AN27" s="3">
        <f>SUM(AN25:AN26)</f>
        <v>0</v>
      </c>
      <c r="AO27" s="3">
        <f>SUM(AO25:AO26)</f>
        <v>0</v>
      </c>
      <c r="AP27" s="3">
        <f>SUM(AP25:AP26)</f>
        <v>0</v>
      </c>
      <c r="AQ27" s="3">
        <f>SUM(AQ25:AQ26)</f>
        <v>0</v>
      </c>
      <c r="AR27" s="42" t="s">
        <v>91</v>
      </c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2.75">
      <c r="A28" s="202"/>
      <c r="B28" s="135" t="str">
        <f>IF(B243=-1,"@D","D")</f>
        <v>D</v>
      </c>
      <c r="C28" s="373" t="str">
        <f>LOOKUP(A28,squad!$B$18:$B$59,squad!$D$18:$D$59)</f>
        <v> </v>
      </c>
      <c r="D28" s="373"/>
      <c r="E28" s="373"/>
      <c r="F28" s="54">
        <f>LOOKUP(A28,squad!$B$18:$B$59,squad!$S$18:$S$59)</f>
        <v>0</v>
      </c>
      <c r="G28" s="202"/>
      <c r="H28" s="135" t="s">
        <v>298</v>
      </c>
      <c r="I28" s="373" t="str">
        <f>LOOKUP(G28,squad!$B$18:$B$59,squad!$D$18:$D$59)</f>
        <v> </v>
      </c>
      <c r="J28" s="373"/>
      <c r="K28" s="381"/>
      <c r="L28" s="54">
        <f>LOOKUP(G28,squad!$B$18:$B$59,squad!$AO$18:$AO$59)</f>
        <v>0</v>
      </c>
      <c r="M28" s="202"/>
      <c r="N28" s="135" t="s">
        <v>298</v>
      </c>
      <c r="O28" s="373" t="str">
        <f>LOOKUP(M28,squad!$B$18:$B$59,squad!$D$18:$D$59)</f>
        <v> </v>
      </c>
      <c r="P28" s="373"/>
      <c r="Q28" s="381"/>
      <c r="R28" s="54">
        <f>LOOKUP(M28,squad!$B$18:$B$59,squad!$AY$18:$AY$59)</f>
        <v>0</v>
      </c>
      <c r="S28" s="202"/>
      <c r="T28" s="135" t="s">
        <v>298</v>
      </c>
      <c r="U28" s="373" t="str">
        <f>LOOKUP(S28,squad!$B$18:$B$59,squad!$D$18:$D$59)</f>
        <v> </v>
      </c>
      <c r="V28" s="373"/>
      <c r="W28" s="381"/>
      <c r="X28" s="54">
        <f>LOOKUP(S28,squad!$B$18:$B$59,squad!$BI$18:$BI$59)</f>
        <v>0</v>
      </c>
      <c r="Y28" s="209"/>
      <c r="Z28" s="135" t="s">
        <v>298</v>
      </c>
      <c r="AA28" s="373" t="str">
        <f>LOOKUP(Y28,squad!$B$18:$B$59,squad!$D$18:$D$59)</f>
        <v> </v>
      </c>
      <c r="AB28" s="373"/>
      <c r="AC28" s="381"/>
      <c r="AD28" s="54">
        <f>LOOKUP(Y28,squad!$B$18:$B$59,squad!$BS$18:$BS$59)</f>
        <v>0</v>
      </c>
      <c r="AE28" s="3"/>
      <c r="AF28" s="3"/>
      <c r="AG28" s="103">
        <f>LOOKUP(A28,squad!$B$18:$B$59,squad!$C$18:$C$59)</f>
        <v>0</v>
      </c>
      <c r="AH28" s="74">
        <f>LOOKUP(G28,squad!$B$18:$B$59,squad!$AB$18:$AB$59)</f>
        <v>0</v>
      </c>
      <c r="AI28" s="74">
        <f>LOOKUP(M28,squad!$B$18:$B$59,squad!$AC$18:$AC$59)</f>
        <v>0</v>
      </c>
      <c r="AJ28" s="74">
        <f>LOOKUP(S28,squad!$B$18:$B$59,squad!$AD$18:$AD$59)</f>
        <v>0</v>
      </c>
      <c r="AK28" s="104">
        <f>LOOKUP(Y28,squad!$B$18:$B$59,squad!$AE$18:$AE$59)</f>
        <v>0</v>
      </c>
      <c r="AL28" s="3"/>
      <c r="AM28" s="3">
        <f>COUNTIF(AG17:AG18,"DLM")</f>
        <v>0</v>
      </c>
      <c r="AN28" s="3">
        <f>COUNTIF(AH17:AH18,"DLM")</f>
        <v>0</v>
      </c>
      <c r="AO28" s="3">
        <f>COUNTIF(AI17:AI18,"DLM")</f>
        <v>0</v>
      </c>
      <c r="AP28" s="3">
        <f>COUNTIF(AJ17:AJ18,"DLM")</f>
        <v>0</v>
      </c>
      <c r="AQ28" s="3">
        <f>COUNTIF(AK17:AK18,"DLM")</f>
        <v>0</v>
      </c>
      <c r="AR28" s="42" t="s">
        <v>182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2.75">
      <c r="A29" s="203"/>
      <c r="B29" s="135">
        <f t="shared" si="0"/>
      </c>
      <c r="C29" s="373" t="str">
        <f>LOOKUP(A29,squad!$B$18:$B$59,squad!$D$18:$D$59)</f>
        <v> </v>
      </c>
      <c r="D29" s="373"/>
      <c r="E29" s="373"/>
      <c r="F29" s="54">
        <f>LOOKUP(A29,squad!$B$18:$B$59,squad!$S$18:$S$59)</f>
        <v>0</v>
      </c>
      <c r="G29" s="203"/>
      <c r="H29" s="135"/>
      <c r="I29" s="373" t="str">
        <f>LOOKUP(G29,squad!$B$18:$B$59,squad!$D$18:$D$59)</f>
        <v> </v>
      </c>
      <c r="J29" s="373"/>
      <c r="K29" s="381"/>
      <c r="L29" s="54">
        <f>LOOKUP(G29,squad!$B$18:$B$59,squad!$AO$18:$AO$59)</f>
        <v>0</v>
      </c>
      <c r="M29" s="203"/>
      <c r="N29" s="135"/>
      <c r="O29" s="373" t="str">
        <f>LOOKUP(M29,squad!$B$18:$B$59,squad!$D$18:$D$59)</f>
        <v> </v>
      </c>
      <c r="P29" s="373"/>
      <c r="Q29" s="381"/>
      <c r="R29" s="54">
        <f>LOOKUP(M29,squad!$B$18:$B$59,squad!$AY$18:$AY$59)</f>
        <v>0</v>
      </c>
      <c r="S29" s="203"/>
      <c r="T29" s="135"/>
      <c r="U29" s="373" t="str">
        <f>LOOKUP(S29,squad!$B$18:$B$59,squad!$D$18:$D$59)</f>
        <v> </v>
      </c>
      <c r="V29" s="373"/>
      <c r="W29" s="381"/>
      <c r="X29" s="54">
        <f>LOOKUP(S29,squad!$B$18:$B$59,squad!$BI$18:$BI$59)</f>
        <v>0</v>
      </c>
      <c r="Y29" s="199"/>
      <c r="Z29" s="135"/>
      <c r="AA29" s="373" t="str">
        <f>LOOKUP(Y29,squad!$B$18:$B$59,squad!$D$18:$D$59)</f>
        <v> </v>
      </c>
      <c r="AB29" s="373"/>
      <c r="AC29" s="381"/>
      <c r="AD29" s="54">
        <f>LOOKUP(Y29,squad!$B$18:$B$59,squad!$BS$18:$BS$59)</f>
        <v>0</v>
      </c>
      <c r="AE29" s="3"/>
      <c r="AF29" s="3"/>
      <c r="AG29" s="103">
        <f>LOOKUP(A29,squad!$B$18:$B$59,squad!$C$18:$C$59)</f>
        <v>0</v>
      </c>
      <c r="AH29" s="74">
        <f>LOOKUP(G29,squad!$B$18:$B$59,squad!$AB$18:$AB$59)</f>
        <v>0</v>
      </c>
      <c r="AI29" s="74">
        <f>LOOKUP(M29,squad!$B$18:$B$59,squad!$AC$18:$AC$59)</f>
        <v>0</v>
      </c>
      <c r="AJ29" s="74">
        <f>LOOKUP(S29,squad!$B$18:$B$59,squad!$AD$18:$AD$59)</f>
        <v>0</v>
      </c>
      <c r="AK29" s="104">
        <f>LOOKUP(Y29,squad!$B$18:$B$59,squad!$AE$18:$AE$59)</f>
        <v>0</v>
      </c>
      <c r="AL29" s="3"/>
      <c r="AM29" s="3">
        <f>COUNTIF(AG25:AG36,"DLM")</f>
        <v>0</v>
      </c>
      <c r="AN29" s="3">
        <f>COUNTIF(AH25:AH36,"DLM")</f>
        <v>0</v>
      </c>
      <c r="AO29" s="3">
        <f>COUNTIF(AI25:AI36,"DLM")</f>
        <v>0</v>
      </c>
      <c r="AP29" s="3">
        <f>COUNTIF(AJ25:AJ36,"DLM")</f>
        <v>0</v>
      </c>
      <c r="AQ29" s="3">
        <f>COUNTIF(AK25:AK36,"DLM")</f>
        <v>0</v>
      </c>
      <c r="AR29" s="42" t="s">
        <v>183</v>
      </c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13.5" thickBot="1">
      <c r="A30" s="206"/>
      <c r="B30" s="262">
        <f t="shared" si="0"/>
      </c>
      <c r="C30" s="467" t="str">
        <f>LOOKUP(A30,squad!$B$18:$B$59,squad!$D$18:$D$59)</f>
        <v> </v>
      </c>
      <c r="D30" s="467"/>
      <c r="E30" s="467"/>
      <c r="F30" s="55">
        <f>LOOKUP(A30,squad!$B$18:$B$59,squad!$S$18:$S$59)</f>
        <v>0</v>
      </c>
      <c r="G30" s="206"/>
      <c r="H30" s="136"/>
      <c r="I30" s="467" t="str">
        <f>LOOKUP(G30,squad!$B$18:$B$59,squad!$D$18:$D$59)</f>
        <v> </v>
      </c>
      <c r="J30" s="467"/>
      <c r="K30" s="468"/>
      <c r="L30" s="55">
        <f>LOOKUP(G30,squad!$B$18:$B$59,squad!$AO$18:$AO$59)</f>
        <v>0</v>
      </c>
      <c r="M30" s="206"/>
      <c r="N30" s="136"/>
      <c r="O30" s="467" t="str">
        <f>LOOKUP(M30,squad!$B$18:$B$59,squad!$D$18:$D$59)</f>
        <v> </v>
      </c>
      <c r="P30" s="467"/>
      <c r="Q30" s="468"/>
      <c r="R30" s="55">
        <f>LOOKUP(M30,squad!$B$18:$B$59,squad!$AY$18:$AY$59)</f>
        <v>0</v>
      </c>
      <c r="S30" s="206"/>
      <c r="T30" s="136"/>
      <c r="U30" s="467" t="str">
        <f>LOOKUP(S30,squad!$B$18:$B$59,squad!$D$18:$D$59)</f>
        <v> </v>
      </c>
      <c r="V30" s="467"/>
      <c r="W30" s="468"/>
      <c r="X30" s="55">
        <f>LOOKUP(S30,squad!$B$18:$B$59,squad!$BI$18:$BI$59)</f>
        <v>0</v>
      </c>
      <c r="Y30" s="212"/>
      <c r="Z30" s="136"/>
      <c r="AA30" s="467" t="str">
        <f>LOOKUP(Y30,squad!$B$18:$B$59,squad!$D$18:$D$59)</f>
        <v> </v>
      </c>
      <c r="AB30" s="467"/>
      <c r="AC30" s="468"/>
      <c r="AD30" s="55">
        <f>LOOKUP(Y30,squad!$B$18:$B$59,squad!$BS$18:$BS$59)</f>
        <v>0</v>
      </c>
      <c r="AE30" s="3"/>
      <c r="AF30" s="3"/>
      <c r="AG30" s="103">
        <f>LOOKUP(A30,squad!$B$18:$B$59,squad!$C$18:$C$59)</f>
        <v>0</v>
      </c>
      <c r="AH30" s="74">
        <f>LOOKUP(G30,squad!$B$18:$B$59,squad!$AB$18:$AB$59)</f>
        <v>0</v>
      </c>
      <c r="AI30" s="74">
        <f>LOOKUP(M30,squad!$B$18:$B$59,squad!$AC$18:$AC$59)</f>
        <v>0</v>
      </c>
      <c r="AJ30" s="74">
        <f>LOOKUP(S30,squad!$B$18:$B$59,squad!$AD$18:$AD$59)</f>
        <v>0</v>
      </c>
      <c r="AK30" s="104">
        <f>LOOKUP(Y30,squad!$B$18:$B$59,squad!$AE$18:$AE$59)</f>
        <v>0</v>
      </c>
      <c r="AL30" s="3"/>
      <c r="AM30" s="3">
        <f>SUM(AM28:AM29)</f>
        <v>0</v>
      </c>
      <c r="AN30" s="3">
        <f>SUM(AN28:AN29)</f>
        <v>0</v>
      </c>
      <c r="AO30" s="3">
        <f>SUM(AO28:AO29)</f>
        <v>0</v>
      </c>
      <c r="AP30" s="3">
        <f>SUM(AP28:AP29)</f>
        <v>0</v>
      </c>
      <c r="AQ30" s="3">
        <f>SUM(AQ28:AQ29)</f>
        <v>0</v>
      </c>
      <c r="AR30" s="42" t="s">
        <v>94</v>
      </c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2.75">
      <c r="A31" s="202"/>
      <c r="B31" s="261">
        <f t="shared" si="0"/>
      </c>
      <c r="C31" s="469" t="str">
        <f>LOOKUP(A31,squad!$B$18:$B$59,squad!$D$18:$D$59)</f>
        <v> </v>
      </c>
      <c r="D31" s="469"/>
      <c r="E31" s="469"/>
      <c r="F31" s="53">
        <f>LOOKUP(A31,squad!$B$18:$B$59,squad!$S$18:$S$59)</f>
        <v>0</v>
      </c>
      <c r="G31" s="202"/>
      <c r="H31" s="137"/>
      <c r="I31" s="469" t="str">
        <f>LOOKUP(G31,squad!$B$18:$B$59,squad!$D$18:$D$59)</f>
        <v> </v>
      </c>
      <c r="J31" s="469"/>
      <c r="K31" s="341"/>
      <c r="L31" s="53">
        <f>LOOKUP(G31,squad!$B$18:$B$59,squad!$AO$18:$AO$59)</f>
        <v>0</v>
      </c>
      <c r="M31" s="202"/>
      <c r="N31" s="137"/>
      <c r="O31" s="469" t="str">
        <f>LOOKUP(M31,squad!$B$18:$B$59,squad!$D$18:$D$59)</f>
        <v> </v>
      </c>
      <c r="P31" s="469"/>
      <c r="Q31" s="341"/>
      <c r="R31" s="53">
        <f>LOOKUP(M31,squad!$B$18:$B$59,squad!$AY$18:$AY$59)</f>
        <v>0</v>
      </c>
      <c r="S31" s="202"/>
      <c r="T31" s="137"/>
      <c r="U31" s="469" t="str">
        <f>LOOKUP(S31,squad!$B$18:$B$59,squad!$D$18:$D$59)</f>
        <v> </v>
      </c>
      <c r="V31" s="469"/>
      <c r="W31" s="341"/>
      <c r="X31" s="53">
        <f>LOOKUP(S31,squad!$B$18:$B$59,squad!$BI$18:$BI$59)</f>
        <v>0</v>
      </c>
      <c r="Y31" s="209"/>
      <c r="Z31" s="137"/>
      <c r="AA31" s="469" t="str">
        <f>LOOKUP(Y31,squad!$B$18:$B$59,squad!$D$18:$D$59)</f>
        <v> </v>
      </c>
      <c r="AB31" s="469"/>
      <c r="AC31" s="341"/>
      <c r="AD31" s="53">
        <f>LOOKUP(Y31,squad!$B$18:$B$59,squad!$BS$18:$BS$59)</f>
        <v>0</v>
      </c>
      <c r="AE31" s="3"/>
      <c r="AF31" s="3"/>
      <c r="AG31" s="103">
        <f>LOOKUP(A31,squad!$B$18:$B$59,squad!$C$18:$C$59)</f>
        <v>0</v>
      </c>
      <c r="AH31" s="74">
        <f>LOOKUP(G31,squad!$B$18:$B$59,squad!$AB$18:$AB$59)</f>
        <v>0</v>
      </c>
      <c r="AI31" s="74">
        <f>LOOKUP(M31,squad!$B$18:$B$59,squad!$AC$18:$AC$59)</f>
        <v>0</v>
      </c>
      <c r="AJ31" s="74">
        <f>LOOKUP(S31,squad!$B$18:$B$59,squad!$AD$18:$AD$59)</f>
        <v>0</v>
      </c>
      <c r="AK31" s="104">
        <f>LOOKUP(Y31,squad!$B$18:$B$59,squad!$AE$18:$AE$59)</f>
        <v>0</v>
      </c>
      <c r="AL31" s="3"/>
      <c r="AM31" s="3">
        <f>COUNTIF(AG17:AG24,"MLM")</f>
        <v>0</v>
      </c>
      <c r="AN31" s="3">
        <f>COUNTIF(AH17:AH24,"MLM")</f>
        <v>0</v>
      </c>
      <c r="AO31" s="3">
        <f>COUNTIF(AI17:AI24,"MLM")</f>
        <v>0</v>
      </c>
      <c r="AP31" s="3">
        <f>COUNTIF(AJ17:AJ24,"MLM")</f>
        <v>0</v>
      </c>
      <c r="AQ31" s="3">
        <f>COUNTIF(AK17:AK24,"MLM")</f>
        <v>0</v>
      </c>
      <c r="AR31" s="42" t="s">
        <v>184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2.75">
      <c r="A32" s="202"/>
      <c r="B32" s="135" t="str">
        <f>IF(B247=-1,"@F","F")</f>
        <v>F</v>
      </c>
      <c r="C32" s="373" t="str">
        <f>LOOKUP(A32,squad!$B$18:$B$59,squad!$D$18:$D$59)</f>
        <v> </v>
      </c>
      <c r="D32" s="373"/>
      <c r="E32" s="373"/>
      <c r="F32" s="54">
        <f>LOOKUP(A32,squad!$B$18:$B$59,squad!$S$18:$S$59)</f>
        <v>0</v>
      </c>
      <c r="G32" s="202"/>
      <c r="H32" s="135" t="s">
        <v>300</v>
      </c>
      <c r="I32" s="373" t="str">
        <f>LOOKUP(G32,squad!$B$18:$B$59,squad!$D$18:$D$59)</f>
        <v> </v>
      </c>
      <c r="J32" s="373"/>
      <c r="K32" s="381"/>
      <c r="L32" s="54">
        <f>LOOKUP(G32,squad!$B$18:$B$59,squad!$AO$18:$AO$59)</f>
        <v>0</v>
      </c>
      <c r="M32" s="202"/>
      <c r="N32" s="135" t="s">
        <v>300</v>
      </c>
      <c r="O32" s="373" t="str">
        <f>LOOKUP(M32,squad!$B$18:$B$59,squad!$D$18:$D$59)</f>
        <v> </v>
      </c>
      <c r="P32" s="373"/>
      <c r="Q32" s="381"/>
      <c r="R32" s="54">
        <f>LOOKUP(M32,squad!$B$18:$B$59,squad!$AY$18:$AY$59)</f>
        <v>0</v>
      </c>
      <c r="S32" s="202"/>
      <c r="T32" s="135" t="s">
        <v>300</v>
      </c>
      <c r="U32" s="373" t="str">
        <f>LOOKUP(S32,squad!$B$18:$B$59,squad!$D$18:$D$59)</f>
        <v> </v>
      </c>
      <c r="V32" s="373"/>
      <c r="W32" s="381"/>
      <c r="X32" s="54">
        <f>LOOKUP(S32,squad!$B$18:$B$59,squad!$BI$18:$BI$59)</f>
        <v>0</v>
      </c>
      <c r="Y32" s="209"/>
      <c r="Z32" s="135" t="s">
        <v>300</v>
      </c>
      <c r="AA32" s="373" t="str">
        <f>LOOKUP(Y32,squad!$B$18:$B$59,squad!$D$18:$D$59)</f>
        <v> </v>
      </c>
      <c r="AB32" s="373"/>
      <c r="AC32" s="381"/>
      <c r="AD32" s="54">
        <f>LOOKUP(Y32,squad!$B$18:$B$59,squad!$BS$18:$BS$59)</f>
        <v>0</v>
      </c>
      <c r="AE32" s="3"/>
      <c r="AF32" s="3"/>
      <c r="AG32" s="103">
        <f>LOOKUP(A32,squad!$B$18:$B$59,squad!$C$18:$C$59)</f>
        <v>0</v>
      </c>
      <c r="AH32" s="74">
        <f>LOOKUP(G32,squad!$B$18:$B$59,squad!$AB$18:$AB$59)</f>
        <v>0</v>
      </c>
      <c r="AI32" s="74">
        <f>LOOKUP(M32,squad!$B$18:$B$59,squad!$AC$18:$AC$59)</f>
        <v>0</v>
      </c>
      <c r="AJ32" s="74">
        <f>LOOKUP(S32,squad!$B$18:$B$59,squad!$AD$18:$AD$59)</f>
        <v>0</v>
      </c>
      <c r="AK32" s="104">
        <f>LOOKUP(Y32,squad!$B$18:$B$59,squad!$AE$18:$AE$59)</f>
        <v>0</v>
      </c>
      <c r="AL32" s="3"/>
      <c r="AM32" s="3">
        <f>COUNTIF(AG31:AG36,"MLM")</f>
        <v>0</v>
      </c>
      <c r="AN32" s="3">
        <f>COUNTIF(AH31:AH36,"MLM")</f>
        <v>0</v>
      </c>
      <c r="AO32" s="3">
        <f>COUNTIF(AI31:AI36,"MLM")</f>
        <v>0</v>
      </c>
      <c r="AP32" s="3">
        <f>COUNTIF(AJ31:AJ36,"MLM")</f>
        <v>0</v>
      </c>
      <c r="AQ32" s="3">
        <f>COUNTIF(AK31:AK36,"MLM")</f>
        <v>0</v>
      </c>
      <c r="AR32" s="42" t="s">
        <v>185</v>
      </c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12.75">
      <c r="A33" s="202"/>
      <c r="B33" s="135" t="str">
        <f>IF(B248=-1,"@O","O")</f>
        <v>O</v>
      </c>
      <c r="C33" s="373" t="str">
        <f>LOOKUP(A33,squad!$B$18:$B$59,squad!$D$18:$D$59)</f>
        <v> </v>
      </c>
      <c r="D33" s="373"/>
      <c r="E33" s="373"/>
      <c r="F33" s="54">
        <f>LOOKUP(A33,squad!$B$18:$B$59,squad!$S$18:$S$59)</f>
        <v>0</v>
      </c>
      <c r="G33" s="202"/>
      <c r="H33" s="135" t="s">
        <v>302</v>
      </c>
      <c r="I33" s="373" t="str">
        <f>LOOKUP(G33,squad!$B$18:$B$59,squad!$D$18:$D$59)</f>
        <v> </v>
      </c>
      <c r="J33" s="373"/>
      <c r="K33" s="381"/>
      <c r="L33" s="54">
        <f>LOOKUP(G33,squad!$B$18:$B$59,squad!$AO$18:$AO$59)</f>
        <v>0</v>
      </c>
      <c r="M33" s="202"/>
      <c r="N33" s="135" t="s">
        <v>302</v>
      </c>
      <c r="O33" s="373" t="str">
        <f>LOOKUP(M33,squad!$B$18:$B$59,squad!$D$18:$D$59)</f>
        <v> </v>
      </c>
      <c r="P33" s="373"/>
      <c r="Q33" s="381"/>
      <c r="R33" s="54">
        <f>LOOKUP(M33,squad!$B$18:$B$59,squad!$AY$18:$AY$59)</f>
        <v>0</v>
      </c>
      <c r="S33" s="202"/>
      <c r="T33" s="135" t="s">
        <v>302</v>
      </c>
      <c r="U33" s="373" t="str">
        <f>LOOKUP(S33,squad!$B$18:$B$59,squad!$D$18:$D$59)</f>
        <v> </v>
      </c>
      <c r="V33" s="373"/>
      <c r="W33" s="381"/>
      <c r="X33" s="54">
        <f>LOOKUP(S33,squad!$B$18:$B$59,squad!$BI$18:$BI$59)</f>
        <v>0</v>
      </c>
      <c r="Y33" s="209"/>
      <c r="Z33" s="135" t="s">
        <v>302</v>
      </c>
      <c r="AA33" s="373" t="str">
        <f>LOOKUP(Y33,squad!$B$18:$B$59,squad!$D$18:$D$59)</f>
        <v> </v>
      </c>
      <c r="AB33" s="373"/>
      <c r="AC33" s="381"/>
      <c r="AD33" s="54">
        <f>LOOKUP(Y33,squad!$B$18:$B$59,squad!$BS$18:$BS$59)</f>
        <v>0</v>
      </c>
      <c r="AE33" s="3"/>
      <c r="AF33" s="3"/>
      <c r="AG33" s="103">
        <f>LOOKUP(A33,squad!$B$18:$B$59,squad!$C$18:$C$59)</f>
        <v>0</v>
      </c>
      <c r="AH33" s="74">
        <f>LOOKUP(G33,squad!$B$18:$B$59,squad!$AB$18:$AB$59)</f>
        <v>0</v>
      </c>
      <c r="AI33" s="74">
        <f>LOOKUP(M33,squad!$B$18:$B$59,squad!$AC$18:$AC$59)</f>
        <v>0</v>
      </c>
      <c r="AJ33" s="74">
        <f>LOOKUP(S33,squad!$B$18:$B$59,squad!$AD$18:$AD$59)</f>
        <v>0</v>
      </c>
      <c r="AK33" s="104">
        <f>LOOKUP(Y33,squad!$B$18:$B$59,squad!$AE$18:$AE$59)</f>
        <v>0</v>
      </c>
      <c r="AL33" s="3"/>
      <c r="AM33" s="3">
        <f>SUM(AM31:AM32)</f>
        <v>0</v>
      </c>
      <c r="AN33" s="3">
        <f>SUM(AN31:AN32)</f>
        <v>0</v>
      </c>
      <c r="AO33" s="3">
        <f>SUM(AO31:AO32)</f>
        <v>0</v>
      </c>
      <c r="AP33" s="3">
        <f>SUM(AP31:AP32)</f>
        <v>0</v>
      </c>
      <c r="AQ33" s="3">
        <f>SUM(AQ31:AQ32)</f>
        <v>0</v>
      </c>
      <c r="AR33" s="42" t="s">
        <v>96</v>
      </c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12.75">
      <c r="A34" s="202"/>
      <c r="B34" s="135" t="str">
        <f>IF(B249=-1,"@R","R")</f>
        <v>R</v>
      </c>
      <c r="C34" s="373" t="str">
        <f>LOOKUP(A34,squad!$B$18:$B$59,squad!$D$18:$D$59)</f>
        <v> </v>
      </c>
      <c r="D34" s="373"/>
      <c r="E34" s="373"/>
      <c r="F34" s="54">
        <f>LOOKUP(A34,squad!$B$18:$B$59,squad!$S$18:$S$59)</f>
        <v>0</v>
      </c>
      <c r="G34" s="202"/>
      <c r="H34" s="135" t="s">
        <v>303</v>
      </c>
      <c r="I34" s="373" t="str">
        <f>LOOKUP(G34,squad!$B$18:$B$59,squad!$D$18:$D$59)</f>
        <v> </v>
      </c>
      <c r="J34" s="373"/>
      <c r="K34" s="381"/>
      <c r="L34" s="54">
        <f>LOOKUP(G34,squad!$B$18:$B$59,squad!$AO$18:$AO$59)</f>
        <v>0</v>
      </c>
      <c r="M34" s="202"/>
      <c r="N34" s="135" t="s">
        <v>303</v>
      </c>
      <c r="O34" s="373" t="str">
        <f>LOOKUP(M34,squad!$B$18:$B$59,squad!$D$18:$D$59)</f>
        <v> </v>
      </c>
      <c r="P34" s="373"/>
      <c r="Q34" s="381"/>
      <c r="R34" s="54">
        <f>LOOKUP(M34,squad!$B$18:$B$59,squad!$AY$18:$AY$59)</f>
        <v>0</v>
      </c>
      <c r="S34" s="202"/>
      <c r="T34" s="135" t="s">
        <v>303</v>
      </c>
      <c r="U34" s="373" t="str">
        <f>LOOKUP(S34,squad!$B$18:$B$59,squad!$D$18:$D$59)</f>
        <v> </v>
      </c>
      <c r="V34" s="373"/>
      <c r="W34" s="381"/>
      <c r="X34" s="54">
        <f>LOOKUP(S34,squad!$B$18:$B$59,squad!$BI$18:$BI$59)</f>
        <v>0</v>
      </c>
      <c r="Y34" s="209"/>
      <c r="Z34" s="135" t="s">
        <v>303</v>
      </c>
      <c r="AA34" s="373" t="str">
        <f>LOOKUP(Y34,squad!$B$18:$B$59,squad!$D$18:$D$59)</f>
        <v> </v>
      </c>
      <c r="AB34" s="373"/>
      <c r="AC34" s="381"/>
      <c r="AD34" s="54">
        <f>LOOKUP(Y34,squad!$B$18:$B$59,squad!$BS$18:$BS$59)</f>
        <v>0</v>
      </c>
      <c r="AE34" s="3"/>
      <c r="AF34" s="3"/>
      <c r="AG34" s="103">
        <f>LOOKUP(A34,squad!$B$18:$B$59,squad!$C$18:$C$59)</f>
        <v>0</v>
      </c>
      <c r="AH34" s="74">
        <f>LOOKUP(G34,squad!$B$18:$B$59,squad!$AB$18:$AB$59)</f>
        <v>0</v>
      </c>
      <c r="AI34" s="74">
        <f>LOOKUP(M34,squad!$B$18:$B$59,squad!$AC$18:$AC$59)</f>
        <v>0</v>
      </c>
      <c r="AJ34" s="74">
        <f>LOOKUP(S34,squad!$B$18:$B$59,squad!$AD$18:$AD$59)</f>
        <v>0</v>
      </c>
      <c r="AK34" s="104">
        <f>LOOKUP(Y34,squad!$B$18:$B$59,squad!$AE$18:$AE$59)</f>
        <v>0</v>
      </c>
      <c r="AL34" s="3"/>
      <c r="AM34" s="3">
        <f>COUNTIF(AG17:AG24,"LK")</f>
        <v>0</v>
      </c>
      <c r="AN34" s="3">
        <f>COUNTIF(AH17:AH24,"LK")</f>
        <v>0</v>
      </c>
      <c r="AO34" s="3">
        <f>COUNTIF(AI17:AI24,"LK")</f>
        <v>0</v>
      </c>
      <c r="AP34" s="3">
        <f>COUNTIF(AJ17:AJ24,"LK")</f>
        <v>0</v>
      </c>
      <c r="AQ34" s="3">
        <f>COUNTIF(AK17:AK24,"LK")</f>
        <v>0</v>
      </c>
      <c r="AR34" s="42" t="s">
        <v>186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12.75">
      <c r="A35" s="203"/>
      <c r="B35" s="135">
        <f t="shared" si="0"/>
      </c>
      <c r="C35" s="373" t="str">
        <f>LOOKUP(A35,squad!$B$18:$B$59,squad!$D$18:$D$59)</f>
        <v> </v>
      </c>
      <c r="D35" s="373"/>
      <c r="E35" s="373"/>
      <c r="F35" s="54">
        <f>LOOKUP(A35,squad!$B$18:$B$59,squad!$S$18:$S$59)</f>
        <v>0</v>
      </c>
      <c r="G35" s="203"/>
      <c r="H35" s="135"/>
      <c r="I35" s="373" t="str">
        <f>LOOKUP(G35,squad!$B$18:$B$59,squad!$D$18:$D$59)</f>
        <v> </v>
      </c>
      <c r="J35" s="373"/>
      <c r="K35" s="381"/>
      <c r="L35" s="54">
        <f>LOOKUP(G35,squad!$B$18:$B$59,squad!$AO$18:$AO$59)</f>
        <v>0</v>
      </c>
      <c r="M35" s="203"/>
      <c r="N35" s="135"/>
      <c r="O35" s="373" t="str">
        <f>LOOKUP(M35,squad!$B$18:$B$59,squad!$D$18:$D$59)</f>
        <v> </v>
      </c>
      <c r="P35" s="373"/>
      <c r="Q35" s="381"/>
      <c r="R35" s="54">
        <f>LOOKUP(M35,squad!$B$18:$B$59,squad!$AY$18:$AY$59)</f>
        <v>0</v>
      </c>
      <c r="S35" s="203"/>
      <c r="T35" s="135"/>
      <c r="U35" s="373" t="str">
        <f>LOOKUP(S35,squad!$B$18:$B$59,squad!$D$18:$D$59)</f>
        <v> </v>
      </c>
      <c r="V35" s="373"/>
      <c r="W35" s="381"/>
      <c r="X35" s="54">
        <f>LOOKUP(S35,squad!$B$18:$B$59,squad!$BI$18:$BI$59)</f>
        <v>0</v>
      </c>
      <c r="Y35" s="199"/>
      <c r="Z35" s="135"/>
      <c r="AA35" s="373" t="str">
        <f>LOOKUP(Y35,squad!$B$18:$B$59,squad!$D$18:$D$59)</f>
        <v> </v>
      </c>
      <c r="AB35" s="373"/>
      <c r="AC35" s="381"/>
      <c r="AD35" s="54">
        <f>LOOKUP(Y35,squad!$B$18:$B$59,squad!$BS$18:$BS$59)</f>
        <v>0</v>
      </c>
      <c r="AE35" s="3"/>
      <c r="AF35" s="3"/>
      <c r="AG35" s="103">
        <f>LOOKUP(A35,squad!$B$18:$B$59,squad!$C$18:$C$59)</f>
        <v>0</v>
      </c>
      <c r="AH35" s="74">
        <f>LOOKUP(G35,squad!$B$18:$B$59,squad!$AB$18:$AB$59)</f>
        <v>0</v>
      </c>
      <c r="AI35" s="74">
        <f>LOOKUP(M35,squad!$B$18:$B$59,squad!$AC$18:$AC$59)</f>
        <v>0</v>
      </c>
      <c r="AJ35" s="74">
        <f>LOOKUP(S35,squad!$B$18:$B$59,squad!$AD$18:$AD$59)</f>
        <v>0</v>
      </c>
      <c r="AK35" s="104">
        <f>LOOKUP(Y35,squad!$B$18:$B$59,squad!$AE$18:$AE$59)</f>
        <v>0</v>
      </c>
      <c r="AL35" s="3"/>
      <c r="AM35" s="3">
        <f>COUNTIF(AG31:AG36,"LK")</f>
        <v>0</v>
      </c>
      <c r="AN35" s="3">
        <f>COUNTIF(AH31:AH36,"LK")</f>
        <v>0</v>
      </c>
      <c r="AO35" s="3">
        <f>COUNTIF(AI31:AI36,"LK")</f>
        <v>0</v>
      </c>
      <c r="AP35" s="3">
        <f>COUNTIF(AJ31:AJ36,"LK")</f>
        <v>0</v>
      </c>
      <c r="AQ35" s="3">
        <f>COUNTIF(AK31:AK36,"LK")</f>
        <v>0</v>
      </c>
      <c r="AR35" s="42" t="s">
        <v>187</v>
      </c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13.5" thickBot="1">
      <c r="A36" s="204"/>
      <c r="B36" s="261">
        <f t="shared" si="0"/>
      </c>
      <c r="C36" s="470" t="str">
        <f>LOOKUP(A36,squad!$B$18:$B$59,squad!$D$18:$D$59)</f>
        <v> </v>
      </c>
      <c r="D36" s="470"/>
      <c r="E36" s="470"/>
      <c r="F36" s="60">
        <f>LOOKUP(A36,squad!$B$18:$B$59,squad!$S$18:$S$59)</f>
        <v>0</v>
      </c>
      <c r="G36" s="204"/>
      <c r="H36" s="138"/>
      <c r="I36" s="470" t="str">
        <f>LOOKUP(G36,squad!$B$18:$B$59,squad!$D$18:$D$59)</f>
        <v> </v>
      </c>
      <c r="J36" s="470"/>
      <c r="K36" s="323"/>
      <c r="L36" s="60">
        <f>LOOKUP(G36,squad!$B$18:$B$59,squad!$AO$18:$AO$59)</f>
        <v>0</v>
      </c>
      <c r="M36" s="204"/>
      <c r="N36" s="138"/>
      <c r="O36" s="470" t="str">
        <f>LOOKUP(M36,squad!$B$18:$B$59,squad!$D$18:$D$59)</f>
        <v> </v>
      </c>
      <c r="P36" s="470"/>
      <c r="Q36" s="323"/>
      <c r="R36" s="60">
        <f>LOOKUP(M36,squad!$B$18:$B$59,squad!$AY$18:$AY$59)</f>
        <v>0</v>
      </c>
      <c r="S36" s="204"/>
      <c r="T36" s="138"/>
      <c r="U36" s="470" t="str">
        <f>LOOKUP(S36,squad!$B$18:$B$59,squad!$D$18:$D$59)</f>
        <v> </v>
      </c>
      <c r="V36" s="470"/>
      <c r="W36" s="323"/>
      <c r="X36" s="60">
        <f>LOOKUP(S36,squad!$B$18:$B$59,squad!$BI$18:$BI$59)</f>
        <v>0</v>
      </c>
      <c r="Y36" s="210"/>
      <c r="Z36" s="138"/>
      <c r="AA36" s="470" t="str">
        <f>LOOKUP(Y36,squad!$B$18:$B$59,squad!$D$18:$D$59)</f>
        <v> </v>
      </c>
      <c r="AB36" s="470"/>
      <c r="AC36" s="323"/>
      <c r="AD36" s="60">
        <f>LOOKUP(Y36,squad!$B$18:$B$59,squad!$BS$18:$BS$59)</f>
        <v>0</v>
      </c>
      <c r="AE36" s="3"/>
      <c r="AF36" s="3"/>
      <c r="AG36" s="103">
        <f>LOOKUP(A36,squad!$B$18:$B$59,squad!$C$18:$C$59)</f>
        <v>0</v>
      </c>
      <c r="AH36" s="74">
        <f>LOOKUP(G36,squad!$B$18:$B$59,squad!$AB$18:$AB$59)</f>
        <v>0</v>
      </c>
      <c r="AI36" s="74">
        <f>LOOKUP(M36,squad!$B$18:$B$59,squad!$AC$18:$AC$59)</f>
        <v>0</v>
      </c>
      <c r="AJ36" s="74">
        <f>LOOKUP(S36,squad!$B$18:$B$59,squad!$AD$18:$AD$59)</f>
        <v>0</v>
      </c>
      <c r="AK36" s="104">
        <f>LOOKUP(Y36,squad!$B$18:$B$59,squad!$AE$18:$AE$59)</f>
        <v>0</v>
      </c>
      <c r="AL36" s="3"/>
      <c r="AM36" s="3">
        <f>SUM(AM34:AM35)</f>
        <v>0</v>
      </c>
      <c r="AN36" s="3">
        <f>SUM(AN34:AN35)</f>
        <v>0</v>
      </c>
      <c r="AO36" s="3">
        <f>SUM(AO34:AO35)</f>
        <v>0</v>
      </c>
      <c r="AP36" s="3">
        <f>SUM(AP34:AP35)</f>
        <v>0</v>
      </c>
      <c r="AQ36" s="3">
        <f>SUM(AQ34:AQ35)</f>
        <v>0</v>
      </c>
      <c r="AR36" s="42" t="s">
        <v>97</v>
      </c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13.5" thickBot="1">
      <c r="A37" s="201"/>
      <c r="B37" s="171" t="s">
        <v>19</v>
      </c>
      <c r="C37" s="461" t="str">
        <f>LOOKUP(A37,squad!$B$18:$B$59,squad!$D$18:$D$59)</f>
        <v> </v>
      </c>
      <c r="D37" s="461"/>
      <c r="E37" s="461"/>
      <c r="F37" s="51">
        <f>LOOKUP(A37,squad!$B$18:$B$59,squad!$S$18:$S$59)</f>
        <v>0</v>
      </c>
      <c r="G37" s="201"/>
      <c r="H37" s="50" t="s">
        <v>19</v>
      </c>
      <c r="I37" s="461" t="str">
        <f>LOOKUP(G37,squad!$B$18:$B$59,squad!$D$18:$D$59)</f>
        <v> </v>
      </c>
      <c r="J37" s="461"/>
      <c r="K37" s="471"/>
      <c r="L37" s="51">
        <f>LOOKUP(G37,squad!$B$18:$B$59,squad!$AO$18:$AO$59)</f>
        <v>0</v>
      </c>
      <c r="M37" s="201"/>
      <c r="N37" s="50" t="s">
        <v>19</v>
      </c>
      <c r="O37" s="461" t="str">
        <f>LOOKUP(M37,squad!$B$18:$B$59,squad!$D$18:$D$59)</f>
        <v> </v>
      </c>
      <c r="P37" s="461"/>
      <c r="Q37" s="471"/>
      <c r="R37" s="51">
        <f>LOOKUP(M37,squad!$B$18:$B$59,squad!$AY$18:$AY$59)</f>
        <v>0</v>
      </c>
      <c r="S37" s="201"/>
      <c r="T37" s="50" t="s">
        <v>19</v>
      </c>
      <c r="U37" s="461" t="str">
        <f>LOOKUP(S37,squad!$B$18:$B$59,squad!$D$18:$D$59)</f>
        <v> </v>
      </c>
      <c r="V37" s="461"/>
      <c r="W37" s="471"/>
      <c r="X37" s="51">
        <f>LOOKUP(S37,squad!$B$18:$B$59,squad!$BI$18:$BI$59)</f>
        <v>0</v>
      </c>
      <c r="Y37" s="208"/>
      <c r="Z37" s="50" t="s">
        <v>19</v>
      </c>
      <c r="AA37" s="461" t="str">
        <f>LOOKUP(Y37,squad!$B$18:$B$59,squad!$D$18:$D$59)</f>
        <v> </v>
      </c>
      <c r="AB37" s="461"/>
      <c r="AC37" s="461"/>
      <c r="AD37" s="51">
        <f>LOOKUP(Y37,squad!$B$18:$B$59,squad!$S$18:$S$59)</f>
        <v>0</v>
      </c>
      <c r="AE37" s="3"/>
      <c r="AF37" s="3"/>
      <c r="AG37" s="103">
        <f>LOOKUP(A37,squad!$B$18:$B$59,squad!$C$18:$C$59)</f>
        <v>0</v>
      </c>
      <c r="AH37" s="74">
        <f>LOOKUP(G37,squad!$B$18:$B$59,squad!$AB$18:$AB$59)</f>
        <v>0</v>
      </c>
      <c r="AI37" s="74">
        <f>LOOKUP(M37,squad!$B$18:$B$59,squad!$AC$18:$AC$59)</f>
        <v>0</v>
      </c>
      <c r="AJ37" s="74">
        <f>LOOKUP(S37,squad!$B$18:$B$59,squad!$AD$18:$AD$59)</f>
        <v>0</v>
      </c>
      <c r="AK37" s="104">
        <f>LOOKUP(Y37,squad!$B$18:$B$59,squad!$AE$18:$AE$59)</f>
        <v>0</v>
      </c>
      <c r="AL37" s="3"/>
      <c r="AM37" s="3">
        <f>COUNTIF(AG17:AG30,"WG")</f>
        <v>0</v>
      </c>
      <c r="AN37" s="3">
        <f>COUNTIF(AH17:AH30,"WG")</f>
        <v>0</v>
      </c>
      <c r="AO37" s="3">
        <f>COUNTIF(AI17:AI30,"WG")</f>
        <v>0</v>
      </c>
      <c r="AP37" s="3">
        <f>COUNTIF(AJ17:AJ30,"WG")</f>
        <v>0</v>
      </c>
      <c r="AQ37" s="3">
        <f>COUNTIF(AK17:AK30,"WG")</f>
        <v>0</v>
      </c>
      <c r="AR37" s="42" t="s">
        <v>98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13.5" thickBot="1">
      <c r="A38" s="207"/>
      <c r="B38" s="168" t="s">
        <v>9</v>
      </c>
      <c r="C38" s="462" t="str">
        <f>LOOKUP(A38,squad!$B$18:$B$59,squad!$D$18:$D$59)</f>
        <v> </v>
      </c>
      <c r="D38" s="462"/>
      <c r="E38" s="462"/>
      <c r="F38" s="169">
        <f>LOOKUP(A38,squad!$B$18:$B$59,squad!$S$18:$S$59)</f>
        <v>0</v>
      </c>
      <c r="G38" s="207"/>
      <c r="H38" s="170" t="s">
        <v>9</v>
      </c>
      <c r="I38" s="462" t="str">
        <f>LOOKUP(G38,squad!$B$18:$B$59,squad!$D$18:$D$59)</f>
        <v> </v>
      </c>
      <c r="J38" s="462"/>
      <c r="K38" s="472"/>
      <c r="L38" s="169">
        <f>LOOKUP(G38,squad!$B$18:$B$59,squad!$AO$18:$AO$59)</f>
        <v>0</v>
      </c>
      <c r="M38" s="207"/>
      <c r="N38" s="170" t="s">
        <v>9</v>
      </c>
      <c r="O38" s="462" t="str">
        <f>LOOKUP(M38,squad!$B$18:$B$59,squad!$D$18:$D$59)</f>
        <v> </v>
      </c>
      <c r="P38" s="462"/>
      <c r="Q38" s="472"/>
      <c r="R38" s="169">
        <f>LOOKUP(M38,squad!$B$18:$B$59,squad!$AY$18:$AY$59)</f>
        <v>0</v>
      </c>
      <c r="S38" s="207"/>
      <c r="T38" s="170" t="s">
        <v>9</v>
      </c>
      <c r="U38" s="462" t="str">
        <f>LOOKUP(S38,squad!$B$18:$B$59,squad!$D$18:$D$59)</f>
        <v> </v>
      </c>
      <c r="V38" s="462"/>
      <c r="W38" s="472"/>
      <c r="X38" s="169">
        <f>LOOKUP(S38,squad!$B$18:$B$59,squad!$BI$18:$BI$59)</f>
        <v>0</v>
      </c>
      <c r="Y38" s="213"/>
      <c r="Z38" s="170" t="s">
        <v>9</v>
      </c>
      <c r="AA38" s="462" t="str">
        <f>LOOKUP(Y38,squad!$B$18:$B$59,squad!$D$18:$D$59)</f>
        <v> </v>
      </c>
      <c r="AB38" s="462"/>
      <c r="AC38" s="462"/>
      <c r="AD38" s="169">
        <f>LOOKUP(Y38,squad!$B$18:$B$59,squad!$S$18:$S$59)</f>
        <v>0</v>
      </c>
      <c r="AE38" s="3"/>
      <c r="AF38" s="3"/>
      <c r="AG38" s="105">
        <f>LOOKUP(A38,squad!$B$18:$B$59,squad!$C$18:$C$59)</f>
        <v>0</v>
      </c>
      <c r="AH38" s="59">
        <f>LOOKUP(G38,squad!$B$18:$B$59,squad!$AB$18:$AB$59)</f>
        <v>0</v>
      </c>
      <c r="AI38" s="59">
        <f>LOOKUP(M38,squad!$B$18:$B$59,squad!$AC$18:$AC$59)</f>
        <v>0</v>
      </c>
      <c r="AJ38" s="59">
        <f>LOOKUP(S38,squad!$B$18:$B$59,squad!$AD$18:$AD$59)</f>
        <v>0</v>
      </c>
      <c r="AK38" s="106">
        <f>LOOKUP(Y38,squad!$B$18:$B$59,squad!$AE$18:$AE$59)</f>
        <v>0</v>
      </c>
      <c r="AL38" s="3"/>
      <c r="AM38" s="3">
        <f>COUNTIF(AG19:AG36,"GK/SW")</f>
        <v>0</v>
      </c>
      <c r="AN38" s="3">
        <f>COUNTIF(AH19:AH36,"GK/SW")</f>
        <v>0</v>
      </c>
      <c r="AO38" s="3">
        <f>COUNTIF(AI19:AI36,"GK/SW")</f>
        <v>0</v>
      </c>
      <c r="AP38" s="3">
        <f>COUNTIF(AJ19:AJ36,"GK/SW")</f>
        <v>0</v>
      </c>
      <c r="AQ38" s="3">
        <f>COUNTIF(AK19:AK36,"GK/SW")</f>
        <v>0</v>
      </c>
      <c r="AR38" s="42" t="s">
        <v>90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44" s="5" customFormat="1" ht="13.5" thickBot="1">
      <c r="A39" s="189"/>
      <c r="B39" s="48" t="s">
        <v>10</v>
      </c>
      <c r="C39" s="48" t="s">
        <v>11</v>
      </c>
      <c r="D39" s="48" t="s">
        <v>12</v>
      </c>
      <c r="E39" s="48" t="s">
        <v>13</v>
      </c>
      <c r="F39" s="49" t="s">
        <v>14</v>
      </c>
      <c r="G39" s="189"/>
      <c r="H39" s="48" t="s">
        <v>10</v>
      </c>
      <c r="I39" s="48" t="s">
        <v>11</v>
      </c>
      <c r="J39" s="48" t="s">
        <v>12</v>
      </c>
      <c r="K39" s="48" t="s">
        <v>13</v>
      </c>
      <c r="L39" s="49" t="s">
        <v>14</v>
      </c>
      <c r="M39" s="189"/>
      <c r="N39" s="48" t="s">
        <v>10</v>
      </c>
      <c r="O39" s="48" t="s">
        <v>11</v>
      </c>
      <c r="P39" s="48" t="s">
        <v>12</v>
      </c>
      <c r="Q39" s="48" t="s">
        <v>13</v>
      </c>
      <c r="R39" s="49" t="s">
        <v>14</v>
      </c>
      <c r="S39" s="189"/>
      <c r="T39" s="48" t="s">
        <v>10</v>
      </c>
      <c r="U39" s="48" t="s">
        <v>11</v>
      </c>
      <c r="V39" s="48" t="s">
        <v>12</v>
      </c>
      <c r="W39" s="48" t="s">
        <v>13</v>
      </c>
      <c r="X39" s="49" t="s">
        <v>14</v>
      </c>
      <c r="Y39" s="254"/>
      <c r="Z39" s="255" t="s">
        <v>10</v>
      </c>
      <c r="AA39" s="255" t="s">
        <v>11</v>
      </c>
      <c r="AB39" s="255" t="s">
        <v>12</v>
      </c>
      <c r="AC39" s="255" t="s">
        <v>13</v>
      </c>
      <c r="AD39" s="256" t="s">
        <v>14</v>
      </c>
      <c r="AG39" s="81"/>
      <c r="AH39" s="81"/>
      <c r="AI39" s="81"/>
      <c r="AJ39" s="81"/>
      <c r="AK39" s="81"/>
      <c r="AM39" s="5">
        <f>COUNTIF(AG17:AG36,"GG")</f>
        <v>0</v>
      </c>
      <c r="AN39" s="5">
        <f>COUNTIF(AH17:AH36,"GG")</f>
        <v>0</v>
      </c>
      <c r="AO39" s="5">
        <f>COUNTIF(AI17:AI36,"GG")</f>
        <v>0</v>
      </c>
      <c r="AP39" s="5">
        <f>COUNTIF(AJ17:AJ36,"GG")</f>
        <v>0</v>
      </c>
      <c r="AQ39" s="5">
        <f>COUNTIF(AK17:AK36,"GG")</f>
        <v>0</v>
      </c>
      <c r="AR39" s="5" t="s">
        <v>101</v>
      </c>
    </row>
    <row r="40" spans="1:65" ht="12.75">
      <c r="A40" s="87" t="s">
        <v>9</v>
      </c>
      <c r="B40" s="10">
        <f>F17</f>
        <v>0</v>
      </c>
      <c r="C40" s="10">
        <f>F18</f>
        <v>0</v>
      </c>
      <c r="D40" s="10">
        <f>SUM(F19:F24)</f>
        <v>0</v>
      </c>
      <c r="E40" s="10">
        <f>SUM(F25:F30)</f>
        <v>0</v>
      </c>
      <c r="F40" s="37">
        <f>SUM(F31:F36)</f>
        <v>0</v>
      </c>
      <c r="G40" s="87" t="s">
        <v>9</v>
      </c>
      <c r="H40" s="10">
        <f>L17</f>
        <v>0</v>
      </c>
      <c r="I40" s="10">
        <f>L18</f>
        <v>0</v>
      </c>
      <c r="J40" s="10">
        <f>SUM(L19:L24)</f>
        <v>0</v>
      </c>
      <c r="K40" s="10">
        <f>SUM(L25:L30)</f>
        <v>0</v>
      </c>
      <c r="L40" s="37">
        <f>SUM(L31:L36)</f>
        <v>0</v>
      </c>
      <c r="M40" s="87" t="s">
        <v>9</v>
      </c>
      <c r="N40" s="10">
        <f>R17</f>
        <v>0</v>
      </c>
      <c r="O40" s="10">
        <f>R18</f>
        <v>0</v>
      </c>
      <c r="P40" s="10">
        <f>SUM(R19:R24)</f>
        <v>0</v>
      </c>
      <c r="Q40" s="10">
        <f>SUM(R25:R30)</f>
        <v>0</v>
      </c>
      <c r="R40" s="37">
        <f>SUM(R31:R36)</f>
        <v>0</v>
      </c>
      <c r="S40" s="87" t="s">
        <v>9</v>
      </c>
      <c r="T40" s="10">
        <f>X17</f>
        <v>0</v>
      </c>
      <c r="U40" s="10">
        <f>X18</f>
        <v>0</v>
      </c>
      <c r="V40" s="10">
        <f>SUM(X19:X24)</f>
        <v>0</v>
      </c>
      <c r="W40" s="10">
        <f>SUM(X25:X30)</f>
        <v>0</v>
      </c>
      <c r="X40" s="37">
        <f>SUM(X31:X36)</f>
        <v>0</v>
      </c>
      <c r="Y40" s="250" t="s">
        <v>9</v>
      </c>
      <c r="Z40" s="251">
        <f>AD17</f>
        <v>0</v>
      </c>
      <c r="AA40" s="251">
        <f>AD18</f>
        <v>0</v>
      </c>
      <c r="AB40" s="251">
        <f>SUM(AD19:AD24)</f>
        <v>0</v>
      </c>
      <c r="AC40" s="251">
        <f>SUM(AD25:AD30)</f>
        <v>0</v>
      </c>
      <c r="AD40" s="257">
        <f>SUM(AD31:AD36)</f>
        <v>0</v>
      </c>
      <c r="AE40" s="82"/>
      <c r="AF40" s="3"/>
      <c r="AG40" s="80"/>
      <c r="AH40" s="80"/>
      <c r="AI40" s="80"/>
      <c r="AJ40" s="80"/>
      <c r="AK40" s="80"/>
      <c r="AL40" s="3"/>
      <c r="AM40" s="3">
        <f>COUNTIF(AG17:AG36,"PP")</f>
        <v>0</v>
      </c>
      <c r="AN40" s="3">
        <f>COUNTIF(AH17:AH36,"PP")</f>
        <v>0</v>
      </c>
      <c r="AO40" s="3">
        <f>COUNTIF(AI17:AI36,"PP")</f>
        <v>0</v>
      </c>
      <c r="AP40" s="3">
        <f>COUNTIF(AJ17:AJ36,"PP")</f>
        <v>0</v>
      </c>
      <c r="AQ40" s="3">
        <f>COUNTIF(AK17:AK36,"PP")</f>
        <v>0</v>
      </c>
      <c r="AR40" s="42" t="s">
        <v>102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12.75">
      <c r="A41" s="87" t="s">
        <v>153</v>
      </c>
      <c r="B41" s="10">
        <f>B430</f>
        <v>0</v>
      </c>
      <c r="C41" s="10">
        <f>C430</f>
        <v>0</v>
      </c>
      <c r="D41" s="10">
        <f>D430</f>
        <v>0</v>
      </c>
      <c r="E41" s="10">
        <f>E430</f>
        <v>0</v>
      </c>
      <c r="F41" s="10">
        <f>F430</f>
        <v>0</v>
      </c>
      <c r="G41" s="87" t="s">
        <v>153</v>
      </c>
      <c r="H41" s="10">
        <f>H430</f>
        <v>0</v>
      </c>
      <c r="I41" s="10">
        <f>I430</f>
        <v>0</v>
      </c>
      <c r="J41" s="10">
        <f>J430</f>
        <v>0</v>
      </c>
      <c r="K41" s="10">
        <f>K430</f>
        <v>0</v>
      </c>
      <c r="L41" s="10">
        <f>L430</f>
        <v>0</v>
      </c>
      <c r="M41" s="87" t="s">
        <v>153</v>
      </c>
      <c r="N41" s="10">
        <f>N430</f>
        <v>0</v>
      </c>
      <c r="O41" s="10">
        <f>O430</f>
        <v>0</v>
      </c>
      <c r="P41" s="10">
        <f>P430</f>
        <v>0</v>
      </c>
      <c r="Q41" s="10">
        <f>Q430</f>
        <v>0</v>
      </c>
      <c r="R41" s="10">
        <f>R430</f>
        <v>0</v>
      </c>
      <c r="S41" s="87" t="s">
        <v>153</v>
      </c>
      <c r="T41" s="10">
        <f>T430</f>
        <v>0</v>
      </c>
      <c r="U41" s="10">
        <f>U430</f>
        <v>0</v>
      </c>
      <c r="V41" s="10">
        <f>V430</f>
        <v>0</v>
      </c>
      <c r="W41" s="10">
        <f>W430</f>
        <v>0</v>
      </c>
      <c r="X41" s="10">
        <f>X430</f>
        <v>0</v>
      </c>
      <c r="Y41" s="87" t="s">
        <v>153</v>
      </c>
      <c r="Z41" s="10">
        <f>Z430</f>
        <v>0</v>
      </c>
      <c r="AA41" s="10">
        <f>AA430</f>
        <v>0</v>
      </c>
      <c r="AB41" s="10">
        <f>AB430</f>
        <v>0</v>
      </c>
      <c r="AC41" s="10">
        <f>AC430</f>
        <v>0</v>
      </c>
      <c r="AD41" s="37">
        <f>AD430</f>
        <v>0</v>
      </c>
      <c r="AE41" s="82"/>
      <c r="AF41" s="3"/>
      <c r="AG41" s="80"/>
      <c r="AH41" s="80"/>
      <c r="AI41" s="80"/>
      <c r="AJ41" s="80"/>
      <c r="AK41" s="80"/>
      <c r="AL41" s="3"/>
      <c r="AM41" s="3">
        <f>COUNTIF(AG17:AG36,"SS")</f>
        <v>0</v>
      </c>
      <c r="AN41" s="3">
        <f>COUNTIF(AH17:AH36,"SS")</f>
        <v>0</v>
      </c>
      <c r="AO41" s="3">
        <f>COUNTIF(AI17:AI36,"SS")</f>
        <v>0</v>
      </c>
      <c r="AP41" s="3">
        <f>COUNTIF(AJ17:AJ36,"SS")</f>
        <v>0</v>
      </c>
      <c r="AQ41" s="3">
        <f>COUNTIF(AK17:AK36,"SS")</f>
        <v>0</v>
      </c>
      <c r="AR41" s="42" t="s">
        <v>103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12.75">
      <c r="A42" s="87" t="s">
        <v>15</v>
      </c>
      <c r="B42" s="139">
        <f>COUNTIF(squad!C18:C59,"GG")</f>
        <v>0</v>
      </c>
      <c r="C42" s="139">
        <f>10+(B42*2)</f>
        <v>10</v>
      </c>
      <c r="D42" s="214"/>
      <c r="E42" s="195"/>
      <c r="F42" s="197"/>
      <c r="G42" s="87" t="s">
        <v>15</v>
      </c>
      <c r="H42" s="139">
        <f>COUNTIF(squad!C18:C59,"GG")</f>
        <v>0</v>
      </c>
      <c r="I42" s="139">
        <f>10+(H42*2)</f>
        <v>10</v>
      </c>
      <c r="J42" s="214"/>
      <c r="K42" s="195"/>
      <c r="L42" s="197"/>
      <c r="M42" s="87" t="s">
        <v>15</v>
      </c>
      <c r="N42" s="139">
        <f>COUNTIF(squad!C18:C59,"GG")</f>
        <v>0</v>
      </c>
      <c r="O42" s="139">
        <f>10+(N42*2)</f>
        <v>10</v>
      </c>
      <c r="P42" s="214"/>
      <c r="Q42" s="195"/>
      <c r="R42" s="197"/>
      <c r="S42" s="87" t="s">
        <v>15</v>
      </c>
      <c r="T42" s="139">
        <f>COUNTIF(squad!C18:C59,"GG")</f>
        <v>0</v>
      </c>
      <c r="U42" s="139">
        <f>10+(T42*2)</f>
        <v>10</v>
      </c>
      <c r="V42" s="214"/>
      <c r="W42" s="195"/>
      <c r="X42" s="197"/>
      <c r="Y42" s="87" t="s">
        <v>15</v>
      </c>
      <c r="Z42" s="139">
        <f>COUNTIF(squad!C18:C59,"GG")</f>
        <v>0</v>
      </c>
      <c r="AA42" s="139">
        <f>10+(Z42*2)</f>
        <v>10</v>
      </c>
      <c r="AB42" s="214"/>
      <c r="AC42" s="195"/>
      <c r="AD42" s="197"/>
      <c r="AE42" s="253"/>
      <c r="AF42" s="3"/>
      <c r="AG42" s="80"/>
      <c r="AH42" s="80"/>
      <c r="AI42" s="80"/>
      <c r="AJ42" s="80"/>
      <c r="AK42" s="80"/>
      <c r="AL42" s="3"/>
      <c r="AM42" s="3">
        <f>COUNTIF(AG17:AG36,"CC")</f>
        <v>0</v>
      </c>
      <c r="AN42" s="3">
        <f>COUNTIF(AH17:AH36,"CC")</f>
        <v>0</v>
      </c>
      <c r="AO42" s="3">
        <f>COUNTIF(AI17:AI36,"CC")</f>
        <v>0</v>
      </c>
      <c r="AP42" s="3">
        <f>COUNTIF(AJ17:AJ36,"CC")</f>
        <v>0</v>
      </c>
      <c r="AQ42" s="3">
        <f>COUNTIF(AK17:AK36,"CC")</f>
        <v>0</v>
      </c>
      <c r="AR42" s="42" t="s">
        <v>104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12.75">
      <c r="A43" s="87" t="s">
        <v>16</v>
      </c>
      <c r="B43" s="141"/>
      <c r="C43" s="141"/>
      <c r="D43" s="214"/>
      <c r="E43" s="195"/>
      <c r="F43" s="197"/>
      <c r="G43" s="87" t="s">
        <v>16</v>
      </c>
      <c r="H43" s="141"/>
      <c r="I43" s="141"/>
      <c r="J43" s="214"/>
      <c r="K43" s="195"/>
      <c r="L43" s="197"/>
      <c r="M43" s="87" t="s">
        <v>16</v>
      </c>
      <c r="N43" s="141"/>
      <c r="O43" s="141"/>
      <c r="P43" s="214"/>
      <c r="Q43" s="195"/>
      <c r="R43" s="197"/>
      <c r="S43" s="87" t="s">
        <v>16</v>
      </c>
      <c r="T43" s="141"/>
      <c r="U43" s="141"/>
      <c r="V43" s="214"/>
      <c r="W43" s="195"/>
      <c r="X43" s="197"/>
      <c r="Y43" s="87" t="s">
        <v>16</v>
      </c>
      <c r="Z43" s="141"/>
      <c r="AA43" s="141"/>
      <c r="AB43" s="214"/>
      <c r="AC43" s="195"/>
      <c r="AD43" s="197"/>
      <c r="AE43" s="253"/>
      <c r="AF43" s="3"/>
      <c r="AG43" s="80"/>
      <c r="AH43" s="80"/>
      <c r="AI43" s="80"/>
      <c r="AJ43" s="80"/>
      <c r="AK43" s="80"/>
      <c r="AL43" s="3"/>
      <c r="AM43" s="3">
        <f>COUNTIF(AG17:AG30,"LS")</f>
        <v>0</v>
      </c>
      <c r="AN43" s="3">
        <f>COUNTIF(AH17:AH30,"LS")</f>
        <v>0</v>
      </c>
      <c r="AO43" s="3">
        <f>COUNTIF(AI17:AI30,"LS")</f>
        <v>0</v>
      </c>
      <c r="AP43" s="3">
        <f>COUNTIF(AJ17:AJ30,"LS")</f>
        <v>0</v>
      </c>
      <c r="AQ43" s="3">
        <f>COUNTIF(AK17:AK30,"LS")</f>
        <v>0</v>
      </c>
      <c r="AR43" s="42" t="s">
        <v>105</v>
      </c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12.75">
      <c r="A44" s="87" t="s">
        <v>35</v>
      </c>
      <c r="B44" s="214"/>
      <c r="C44" s="214"/>
      <c r="D44" s="195"/>
      <c r="E44" s="195"/>
      <c r="F44" s="197"/>
      <c r="G44" s="87" t="s">
        <v>35</v>
      </c>
      <c r="H44" s="214"/>
      <c r="I44" s="214"/>
      <c r="J44" s="195"/>
      <c r="K44" s="195"/>
      <c r="L44" s="197"/>
      <c r="M44" s="87" t="s">
        <v>35</v>
      </c>
      <c r="N44" s="214"/>
      <c r="O44" s="214"/>
      <c r="P44" s="195"/>
      <c r="Q44" s="195"/>
      <c r="R44" s="197"/>
      <c r="S44" s="87" t="s">
        <v>35</v>
      </c>
      <c r="T44" s="214"/>
      <c r="U44" s="214"/>
      <c r="V44" s="195"/>
      <c r="W44" s="195"/>
      <c r="X44" s="197"/>
      <c r="Y44" s="87" t="s">
        <v>35</v>
      </c>
      <c r="Z44" s="214"/>
      <c r="AA44" s="214"/>
      <c r="AB44" s="195"/>
      <c r="AC44" s="195"/>
      <c r="AD44" s="197"/>
      <c r="AE44" s="253"/>
      <c r="AF44" s="3"/>
      <c r="AG44" s="80"/>
      <c r="AH44" s="80"/>
      <c r="AI44" s="80"/>
      <c r="AJ44" s="80"/>
      <c r="AK44" s="80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ht="12.75">
      <c r="A45" s="87" t="s">
        <v>18</v>
      </c>
      <c r="B45" s="195"/>
      <c r="C45" s="195"/>
      <c r="D45" s="195"/>
      <c r="E45" s="195"/>
      <c r="F45" s="197"/>
      <c r="G45" s="87" t="s">
        <v>18</v>
      </c>
      <c r="H45" s="195"/>
      <c r="I45" s="195"/>
      <c r="J45" s="195"/>
      <c r="K45" s="195"/>
      <c r="L45" s="197"/>
      <c r="M45" s="87" t="s">
        <v>18</v>
      </c>
      <c r="N45" s="195"/>
      <c r="O45" s="195"/>
      <c r="P45" s="195"/>
      <c r="Q45" s="195"/>
      <c r="R45" s="197"/>
      <c r="S45" s="87" t="s">
        <v>18</v>
      </c>
      <c r="T45" s="195"/>
      <c r="U45" s="195"/>
      <c r="V45" s="195"/>
      <c r="W45" s="195"/>
      <c r="X45" s="197"/>
      <c r="Y45" s="87" t="s">
        <v>18</v>
      </c>
      <c r="Z45" s="195"/>
      <c r="AA45" s="195"/>
      <c r="AB45" s="195"/>
      <c r="AC45" s="195"/>
      <c r="AD45" s="197"/>
      <c r="AE45" s="253"/>
      <c r="AF45" s="3"/>
      <c r="AG45" s="80"/>
      <c r="AH45" s="80"/>
      <c r="AI45" s="80"/>
      <c r="AJ45" s="80"/>
      <c r="AK45" s="80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13.5" thickBot="1">
      <c r="A46" s="142" t="s">
        <v>17</v>
      </c>
      <c r="B46" s="31">
        <f>ROUNDDOWN(B155+B157+B158+B159,0)</f>
        <v>0</v>
      </c>
      <c r="C46" s="31">
        <f>ROUNDDOWN(C155+C157+C158+C159,0)</f>
        <v>0</v>
      </c>
      <c r="D46" s="31">
        <f>SUM(D40:D45)</f>
        <v>0</v>
      </c>
      <c r="E46" s="31">
        <f>SUM(E40:E45)</f>
        <v>0</v>
      </c>
      <c r="F46" s="31">
        <f>SUM(F40:F45)</f>
        <v>0</v>
      </c>
      <c r="G46" s="142" t="s">
        <v>17</v>
      </c>
      <c r="H46" s="31">
        <f>ROUNDDOWN(H155+H157+H158+H159,0)</f>
        <v>0</v>
      </c>
      <c r="I46" s="31">
        <f>ROUNDDOWN(I155+I157+I158+I159,0)</f>
        <v>0</v>
      </c>
      <c r="J46" s="31">
        <f>SUM(J40:J45)</f>
        <v>0</v>
      </c>
      <c r="K46" s="31">
        <f>SUM(K40:K45)</f>
        <v>0</v>
      </c>
      <c r="L46" s="31">
        <f>SUM(L40:L45)</f>
        <v>0</v>
      </c>
      <c r="M46" s="142" t="s">
        <v>17</v>
      </c>
      <c r="N46" s="31">
        <f>ROUNDDOWN(N155+N157+N158+N159,0)</f>
        <v>0</v>
      </c>
      <c r="O46" s="31">
        <f>ROUNDDOWN(O155+O157+O158+O159,0)</f>
        <v>0</v>
      </c>
      <c r="P46" s="31">
        <f>SUM(P40:P45)</f>
        <v>0</v>
      </c>
      <c r="Q46" s="31">
        <f>SUM(Q40:Q45)</f>
        <v>0</v>
      </c>
      <c r="R46" s="31">
        <f>SUM(R40:R45)</f>
        <v>0</v>
      </c>
      <c r="S46" s="142" t="s">
        <v>17</v>
      </c>
      <c r="T46" s="31">
        <f>ROUNDDOWN(T155+T157+T158+T159,0)</f>
        <v>0</v>
      </c>
      <c r="U46" s="31">
        <f>ROUNDDOWN(U155+U157+U158+U159,0)</f>
        <v>0</v>
      </c>
      <c r="V46" s="31">
        <f>SUM(V40:V45)</f>
        <v>0</v>
      </c>
      <c r="W46" s="31">
        <f>SUM(W40:W45)</f>
        <v>0</v>
      </c>
      <c r="X46" s="31">
        <f>SUM(X40:X45)</f>
        <v>0</v>
      </c>
      <c r="Y46" s="258" t="s">
        <v>17</v>
      </c>
      <c r="Z46" s="248">
        <f>ROUNDDOWN(Z155+Z157+Z158+Z159,0)</f>
        <v>0</v>
      </c>
      <c r="AA46" s="248">
        <f>ROUNDDOWN(AA155+AA157+AA158+AA159,0)</f>
        <v>0</v>
      </c>
      <c r="AB46" s="248">
        <f>SUM(AB40:AB45)</f>
        <v>0</v>
      </c>
      <c r="AC46" s="248">
        <f>SUM(AC40:AC45)</f>
        <v>0</v>
      </c>
      <c r="AD46" s="249">
        <f>SUM(AD40:AD45)</f>
        <v>0</v>
      </c>
      <c r="AE46" s="82"/>
      <c r="AF46" s="3"/>
      <c r="AG46" s="80"/>
      <c r="AH46" s="80"/>
      <c r="AI46" s="80"/>
      <c r="AJ46" s="80"/>
      <c r="AK46" s="80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13.5" thickBot="1">
      <c r="A47" s="375" t="s">
        <v>154</v>
      </c>
      <c r="B47" s="376"/>
      <c r="C47" s="376"/>
      <c r="D47" s="377"/>
      <c r="E47" s="378" t="s">
        <v>259</v>
      </c>
      <c r="F47" s="379"/>
      <c r="G47" s="375" t="s">
        <v>154</v>
      </c>
      <c r="H47" s="376"/>
      <c r="I47" s="376"/>
      <c r="J47" s="377"/>
      <c r="K47" s="378" t="s">
        <v>259</v>
      </c>
      <c r="L47" s="379"/>
      <c r="M47" s="375" t="s">
        <v>154</v>
      </c>
      <c r="N47" s="376"/>
      <c r="O47" s="376"/>
      <c r="P47" s="377"/>
      <c r="Q47" s="378" t="s">
        <v>259</v>
      </c>
      <c r="R47" s="379"/>
      <c r="S47" s="375" t="s">
        <v>154</v>
      </c>
      <c r="T47" s="376"/>
      <c r="U47" s="376"/>
      <c r="V47" s="377"/>
      <c r="W47" s="378" t="s">
        <v>259</v>
      </c>
      <c r="X47" s="379"/>
      <c r="Y47" s="375" t="s">
        <v>154</v>
      </c>
      <c r="Z47" s="376"/>
      <c r="AA47" s="376"/>
      <c r="AB47" s="377"/>
      <c r="AC47" s="378" t="s">
        <v>259</v>
      </c>
      <c r="AD47" s="379"/>
      <c r="AE47" s="3"/>
      <c r="AF47" s="3"/>
      <c r="AG47" s="80"/>
      <c r="AH47" s="80"/>
      <c r="AI47" s="80"/>
      <c r="AJ47" s="80"/>
      <c r="AK47" s="80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2.75">
      <c r="A48" s="47"/>
      <c r="B48" s="1"/>
      <c r="C48" s="1"/>
      <c r="D48" s="1"/>
      <c r="E48" s="1"/>
      <c r="F48" s="1"/>
      <c r="G48" s="15"/>
      <c r="H48" s="2"/>
      <c r="I48" s="2"/>
      <c r="J48" s="2"/>
      <c r="K48" s="2"/>
      <c r="L48" s="2"/>
      <c r="M48" s="47"/>
      <c r="N48" s="1"/>
      <c r="O48" s="1"/>
      <c r="P48" s="1"/>
      <c r="Q48" s="1"/>
      <c r="R48" s="1"/>
      <c r="S48" s="15"/>
      <c r="T48" s="2"/>
      <c r="U48" s="2"/>
      <c r="V48" s="2"/>
      <c r="W48" s="2"/>
      <c r="X48" s="2"/>
      <c r="Y48" s="47"/>
      <c r="Z48" s="1"/>
      <c r="AA48" s="1"/>
      <c r="AB48" s="1"/>
      <c r="AC48" s="1"/>
      <c r="AD48" s="1"/>
      <c r="AE48" s="3"/>
      <c r="AF48" s="3"/>
      <c r="AG48" s="80"/>
      <c r="AH48" s="80"/>
      <c r="AI48" s="80"/>
      <c r="AJ48" s="80"/>
      <c r="AK48" s="80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12.75" hidden="1">
      <c r="A49" s="143" t="s">
        <v>151</v>
      </c>
      <c r="B49" s="144"/>
      <c r="C49" s="144"/>
      <c r="D49" s="144"/>
      <c r="E49" s="144">
        <f>SUM(B45:F45)</f>
        <v>0</v>
      </c>
      <c r="F49" s="144"/>
      <c r="G49" s="143" t="s">
        <v>151</v>
      </c>
      <c r="H49" s="144"/>
      <c r="I49" s="144"/>
      <c r="J49" s="144"/>
      <c r="K49" s="144">
        <f>SUM(H45:L45)</f>
        <v>0</v>
      </c>
      <c r="L49" s="144"/>
      <c r="M49" s="143" t="s">
        <v>151</v>
      </c>
      <c r="N49" s="144"/>
      <c r="O49" s="144"/>
      <c r="P49" s="144"/>
      <c r="Q49" s="144">
        <f>SUM(N45:R45)</f>
        <v>0</v>
      </c>
      <c r="R49" s="144"/>
      <c r="S49" s="143" t="s">
        <v>151</v>
      </c>
      <c r="T49" s="144"/>
      <c r="U49" s="144"/>
      <c r="V49" s="144"/>
      <c r="W49" s="144">
        <f>SUM(T45:X45)</f>
        <v>0</v>
      </c>
      <c r="X49" s="144"/>
      <c r="Y49" s="143" t="s">
        <v>151</v>
      </c>
      <c r="Z49" s="144"/>
      <c r="AA49" s="144"/>
      <c r="AB49" s="144"/>
      <c r="AC49" s="144">
        <f>SUM(Z45:AD45)</f>
        <v>0</v>
      </c>
      <c r="AD49" s="144"/>
      <c r="AE49" s="3"/>
      <c r="AF49" s="3"/>
      <c r="AG49" s="80"/>
      <c r="AH49" s="80"/>
      <c r="AI49" s="80"/>
      <c r="AJ49" s="80"/>
      <c r="AK49" s="80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12.75" hidden="1">
      <c r="A50" s="143" t="s">
        <v>74</v>
      </c>
      <c r="B50" s="144"/>
      <c r="C50" s="144"/>
      <c r="D50" s="144"/>
      <c r="E50" s="144">
        <f>COUNTIF(A17:A36,A38)</f>
        <v>0</v>
      </c>
      <c r="F50" s="144"/>
      <c r="G50" s="143" t="s">
        <v>74</v>
      </c>
      <c r="H50" s="144"/>
      <c r="I50" s="144"/>
      <c r="J50" s="144"/>
      <c r="K50" s="144">
        <f>COUNTIF(G17:G36,G38)</f>
        <v>0</v>
      </c>
      <c r="L50" s="144"/>
      <c r="M50" s="143" t="s">
        <v>74</v>
      </c>
      <c r="N50" s="144"/>
      <c r="O50" s="144"/>
      <c r="P50" s="144"/>
      <c r="Q50" s="144">
        <f>COUNTIF(M17:M36,M38)</f>
        <v>0</v>
      </c>
      <c r="R50" s="144"/>
      <c r="S50" s="143" t="s">
        <v>74</v>
      </c>
      <c r="T50" s="144"/>
      <c r="U50" s="144"/>
      <c r="V50" s="144"/>
      <c r="W50" s="144">
        <f>COUNTIF(S17:S36,S38)</f>
        <v>0</v>
      </c>
      <c r="X50" s="144"/>
      <c r="Y50" s="143" t="s">
        <v>74</v>
      </c>
      <c r="Z50" s="144"/>
      <c r="AA50" s="144"/>
      <c r="AB50" s="144"/>
      <c r="AC50" s="144">
        <f>COUNTIF(Y17:Y36,Y38)</f>
        <v>0</v>
      </c>
      <c r="AD50" s="144"/>
      <c r="AE50" s="3"/>
      <c r="AF50" s="3"/>
      <c r="AG50" s="80"/>
      <c r="AH50" s="80"/>
      <c r="AI50" s="80"/>
      <c r="AJ50" s="80"/>
      <c r="AK50" s="80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12.75" hidden="1">
      <c r="A51" s="143" t="s">
        <v>72</v>
      </c>
      <c r="B51" s="144"/>
      <c r="C51" s="144"/>
      <c r="D51" s="144"/>
      <c r="E51" s="144">
        <f>COUNTIF(A17:A36,A37)</f>
        <v>0</v>
      </c>
      <c r="F51" s="144"/>
      <c r="G51" s="143" t="s">
        <v>72</v>
      </c>
      <c r="H51" s="144"/>
      <c r="I51" s="144"/>
      <c r="J51" s="144"/>
      <c r="K51" s="144">
        <f>COUNTIF(G17:G36,G37)</f>
        <v>0</v>
      </c>
      <c r="L51" s="144"/>
      <c r="M51" s="143" t="s">
        <v>72</v>
      </c>
      <c r="N51" s="144"/>
      <c r="O51" s="144"/>
      <c r="P51" s="144"/>
      <c r="Q51" s="144">
        <f>COUNTIF(M17:M36,M37)</f>
        <v>0</v>
      </c>
      <c r="R51" s="144"/>
      <c r="S51" s="143" t="s">
        <v>72</v>
      </c>
      <c r="T51" s="144"/>
      <c r="U51" s="144"/>
      <c r="V51" s="144"/>
      <c r="W51" s="144">
        <f>COUNTIF(S17:S36,S37)</f>
        <v>0</v>
      </c>
      <c r="X51" s="144"/>
      <c r="Y51" s="143" t="s">
        <v>72</v>
      </c>
      <c r="Z51" s="144"/>
      <c r="AA51" s="144"/>
      <c r="AB51" s="144"/>
      <c r="AC51" s="144">
        <f>COUNTIF(Y17:Y36,Y37)</f>
        <v>0</v>
      </c>
      <c r="AD51" s="144"/>
      <c r="AE51" s="3"/>
      <c r="AF51" s="3"/>
      <c r="AG51" s="80"/>
      <c r="AH51" s="80"/>
      <c r="AI51" s="80"/>
      <c r="AJ51" s="80"/>
      <c r="AK51" s="80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12.75" hidden="1">
      <c r="A52" s="143" t="s">
        <v>70</v>
      </c>
      <c r="B52" s="144"/>
      <c r="C52" s="144"/>
      <c r="D52" s="144"/>
      <c r="E52" s="144">
        <f>COUNTIF(A17:A36,"&gt;0")</f>
        <v>0</v>
      </c>
      <c r="F52" s="144"/>
      <c r="G52" s="143" t="s">
        <v>70</v>
      </c>
      <c r="H52" s="144"/>
      <c r="I52" s="144"/>
      <c r="J52" s="144"/>
      <c r="K52" s="144">
        <f>COUNTIF(G17:G36,"&gt;0")</f>
        <v>0</v>
      </c>
      <c r="L52" s="144"/>
      <c r="M52" s="143" t="s">
        <v>70</v>
      </c>
      <c r="N52" s="144"/>
      <c r="O52" s="144"/>
      <c r="P52" s="144"/>
      <c r="Q52" s="144">
        <f>COUNTIF(M17:M36,"&gt;0")</f>
        <v>0</v>
      </c>
      <c r="R52" s="144"/>
      <c r="S52" s="143" t="s">
        <v>70</v>
      </c>
      <c r="T52" s="144"/>
      <c r="U52" s="144"/>
      <c r="V52" s="144"/>
      <c r="W52" s="144">
        <f>COUNTIF(S17:S36,"&gt;0")</f>
        <v>0</v>
      </c>
      <c r="X52" s="144"/>
      <c r="Y52" s="143" t="s">
        <v>70</v>
      </c>
      <c r="Z52" s="144"/>
      <c r="AA52" s="144"/>
      <c r="AB52" s="144"/>
      <c r="AC52" s="144">
        <f>COUNTIF(Y17:Y36,"&gt;0")</f>
        <v>0</v>
      </c>
      <c r="AD52" s="144"/>
      <c r="AE52" s="3"/>
      <c r="AF52" s="3"/>
      <c r="AG52" s="80"/>
      <c r="AH52" s="80"/>
      <c r="AI52" s="80"/>
      <c r="AJ52" s="80"/>
      <c r="AK52" s="80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13.5" thickBot="1">
      <c r="A53" s="47"/>
      <c r="B53" s="1"/>
      <c r="C53" s="1"/>
      <c r="D53" s="1"/>
      <c r="E53" s="1"/>
      <c r="F53" s="1"/>
      <c r="G53" s="15"/>
      <c r="H53" s="2"/>
      <c r="I53" s="2"/>
      <c r="J53" s="2"/>
      <c r="K53" s="2"/>
      <c r="L53" s="2"/>
      <c r="M53" s="47"/>
      <c r="N53" s="1"/>
      <c r="O53" s="1"/>
      <c r="P53" s="1"/>
      <c r="Q53" s="1"/>
      <c r="R53" s="1"/>
      <c r="S53" s="15"/>
      <c r="T53" s="2"/>
      <c r="U53" s="2"/>
      <c r="V53" s="2"/>
      <c r="W53" s="2"/>
      <c r="X53" s="2"/>
      <c r="Y53" s="47"/>
      <c r="Z53" s="1"/>
      <c r="AA53" s="1"/>
      <c r="AB53" s="1"/>
      <c r="AC53" s="1"/>
      <c r="AD53" s="1"/>
      <c r="AE53" s="3"/>
      <c r="AF53" s="3"/>
      <c r="AG53" s="80"/>
      <c r="AH53" s="80"/>
      <c r="AI53" s="80"/>
      <c r="AJ53" s="80"/>
      <c r="AK53" s="80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26.25">
      <c r="A54" s="433" t="s">
        <v>148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5"/>
      <c r="AE54" s="3"/>
      <c r="AF54" s="3"/>
      <c r="AG54" s="80"/>
      <c r="AH54" s="80"/>
      <c r="AI54" s="80"/>
      <c r="AJ54" s="80"/>
      <c r="AK54" s="80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37" s="2" customFormat="1" ht="16.5" thickBot="1">
      <c r="A55" s="430" t="s">
        <v>149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2"/>
      <c r="AG55" s="82"/>
      <c r="AH55" s="82"/>
      <c r="AI55" s="82"/>
      <c r="AJ55" s="82"/>
      <c r="AK55" s="82"/>
    </row>
    <row r="56" spans="1:37" s="2" customFormat="1" ht="12.75">
      <c r="A56" s="404" t="s">
        <v>62</v>
      </c>
      <c r="B56" s="405"/>
      <c r="C56" s="405"/>
      <c r="D56" s="405"/>
      <c r="E56" s="405"/>
      <c r="F56" s="406"/>
      <c r="G56" s="404" t="s">
        <v>64</v>
      </c>
      <c r="H56" s="405"/>
      <c r="I56" s="405"/>
      <c r="J56" s="405"/>
      <c r="K56" s="405"/>
      <c r="L56" s="406"/>
      <c r="M56" s="404" t="s">
        <v>65</v>
      </c>
      <c r="N56" s="405"/>
      <c r="O56" s="405"/>
      <c r="P56" s="405"/>
      <c r="Q56" s="405"/>
      <c r="R56" s="406"/>
      <c r="S56" s="404" t="s">
        <v>66</v>
      </c>
      <c r="T56" s="405"/>
      <c r="U56" s="405"/>
      <c r="V56" s="405"/>
      <c r="W56" s="405"/>
      <c r="X56" s="406"/>
      <c r="Y56" s="428" t="s">
        <v>67</v>
      </c>
      <c r="Z56" s="428"/>
      <c r="AA56" s="428"/>
      <c r="AB56" s="428"/>
      <c r="AC56" s="428"/>
      <c r="AD56" s="429"/>
      <c r="AG56" s="85" t="s">
        <v>86</v>
      </c>
      <c r="AH56" s="86"/>
      <c r="AI56" s="86"/>
      <c r="AJ56" s="82"/>
      <c r="AK56" s="82"/>
    </row>
    <row r="57" spans="1:37" s="2" customFormat="1" ht="12.75">
      <c r="A57" s="401" t="s">
        <v>63</v>
      </c>
      <c r="B57" s="395"/>
      <c r="C57" s="395"/>
      <c r="D57" s="395"/>
      <c r="E57" s="395"/>
      <c r="F57" s="396"/>
      <c r="G57" s="401" t="s">
        <v>63</v>
      </c>
      <c r="H57" s="395"/>
      <c r="I57" s="395"/>
      <c r="J57" s="395"/>
      <c r="K57" s="395"/>
      <c r="L57" s="396"/>
      <c r="M57" s="401" t="s">
        <v>63</v>
      </c>
      <c r="N57" s="395"/>
      <c r="O57" s="395"/>
      <c r="P57" s="395"/>
      <c r="Q57" s="395"/>
      <c r="R57" s="396"/>
      <c r="S57" s="401" t="s">
        <v>63</v>
      </c>
      <c r="T57" s="395"/>
      <c r="U57" s="395"/>
      <c r="V57" s="395"/>
      <c r="W57" s="395"/>
      <c r="X57" s="396"/>
      <c r="Y57" s="395" t="s">
        <v>63</v>
      </c>
      <c r="Z57" s="395"/>
      <c r="AA57" s="395"/>
      <c r="AB57" s="395"/>
      <c r="AC57" s="395"/>
      <c r="AD57" s="396"/>
      <c r="AH57" s="82"/>
      <c r="AI57" s="82"/>
      <c r="AJ57" s="82"/>
      <c r="AK57" s="82"/>
    </row>
    <row r="58" spans="1:37" s="2" customFormat="1" ht="12.75">
      <c r="A58" s="402" t="str">
        <f>IF(E11="H/A/N","ENTER H/A STATUS IN E11","")</f>
        <v>ENTER H/A STATUS IN E11</v>
      </c>
      <c r="B58" s="398"/>
      <c r="C58" s="398"/>
      <c r="D58" s="398"/>
      <c r="E58" s="398"/>
      <c r="F58" s="399"/>
      <c r="G58" s="402" t="str">
        <f>IF(K11="H/A/N","ENTER H/A STATUS IN K11","")</f>
        <v>ENTER H/A STATUS IN K11</v>
      </c>
      <c r="H58" s="398"/>
      <c r="I58" s="398"/>
      <c r="J58" s="398"/>
      <c r="K58" s="398"/>
      <c r="L58" s="399"/>
      <c r="M58" s="402" t="str">
        <f>IF(Q11="H/A/N","ENTER H/A STATUS IN Q11","")</f>
        <v>ENTER H/A STATUS IN Q11</v>
      </c>
      <c r="N58" s="398"/>
      <c r="O58" s="398"/>
      <c r="P58" s="398"/>
      <c r="Q58" s="398"/>
      <c r="R58" s="399"/>
      <c r="S58" s="402" t="str">
        <f>IF(W11="H/A/N","ENTER H/A STATUS IN W11","")</f>
        <v>ENTER H/A STATUS IN W11</v>
      </c>
      <c r="T58" s="398"/>
      <c r="U58" s="398"/>
      <c r="V58" s="398"/>
      <c r="W58" s="398"/>
      <c r="X58" s="399"/>
      <c r="Y58" s="397" t="str">
        <f>IF(AC11="H/A/N","ENTER H/A STATUS IN AC11","")</f>
        <v>ENTER H/A STATUS IN AC11</v>
      </c>
      <c r="Z58" s="398"/>
      <c r="AA58" s="398"/>
      <c r="AB58" s="398"/>
      <c r="AC58" s="398"/>
      <c r="AD58" s="399"/>
      <c r="AG58" s="2" t="s">
        <v>68</v>
      </c>
      <c r="AH58" s="82"/>
      <c r="AI58" s="82"/>
      <c r="AJ58" s="82"/>
      <c r="AK58" s="82"/>
    </row>
    <row r="59" spans="1:37" s="2" customFormat="1" ht="12.75">
      <c r="A59" s="393" t="str">
        <f>IF(A2="XX","ENTER SESS NO IN A2","")</f>
        <v>ENTER SESS NO IN A2</v>
      </c>
      <c r="B59" s="386"/>
      <c r="C59" s="386"/>
      <c r="D59" s="386"/>
      <c r="E59" s="386"/>
      <c r="F59" s="387"/>
      <c r="G59" s="393" t="str">
        <f>IF(A2="XX","ENTER SESS NO IN A2","")</f>
        <v>ENTER SESS NO IN A2</v>
      </c>
      <c r="H59" s="386"/>
      <c r="I59" s="386"/>
      <c r="J59" s="386"/>
      <c r="K59" s="386"/>
      <c r="L59" s="387"/>
      <c r="M59" s="393" t="str">
        <f>IF(A2="XX","ENTER SESS NO IN A2","")</f>
        <v>ENTER SESS NO IN A2</v>
      </c>
      <c r="N59" s="386"/>
      <c r="O59" s="386"/>
      <c r="P59" s="386"/>
      <c r="Q59" s="386"/>
      <c r="R59" s="387"/>
      <c r="S59" s="393" t="str">
        <f>IF(A2="XX","ENTER SESS NO IN A2","")</f>
        <v>ENTER SESS NO IN A2</v>
      </c>
      <c r="T59" s="386"/>
      <c r="U59" s="386"/>
      <c r="V59" s="386"/>
      <c r="W59" s="386"/>
      <c r="X59" s="387"/>
      <c r="Y59" s="385" t="str">
        <f>IF(A2="XX","ENTER SESS NO IN A2","")</f>
        <v>ENTER SESS NO IN A2</v>
      </c>
      <c r="Z59" s="386"/>
      <c r="AA59" s="386"/>
      <c r="AB59" s="386"/>
      <c r="AC59" s="386"/>
      <c r="AD59" s="387"/>
      <c r="AG59" s="2" t="s">
        <v>69</v>
      </c>
      <c r="AH59" s="82"/>
      <c r="AI59" s="82"/>
      <c r="AJ59" s="82"/>
      <c r="AK59" s="82"/>
    </row>
    <row r="60" spans="1:37" s="2" customFormat="1" ht="12.75">
      <c r="A60" s="393" t="str">
        <f>IF(E52&lt;&gt;11,"ILLEGAL NO. OF PLAYERS","")</f>
        <v>ILLEGAL NO. OF PLAYERS</v>
      </c>
      <c r="B60" s="386"/>
      <c r="C60" s="386"/>
      <c r="D60" s="386"/>
      <c r="E60" s="386"/>
      <c r="F60" s="387"/>
      <c r="G60" s="393" t="str">
        <f>IF(K52&lt;&gt;11,"ILLEGAL NO. OF PLAYERS","")</f>
        <v>ILLEGAL NO. OF PLAYERS</v>
      </c>
      <c r="H60" s="386"/>
      <c r="I60" s="386"/>
      <c r="J60" s="386"/>
      <c r="K60" s="386"/>
      <c r="L60" s="387"/>
      <c r="M60" s="393" t="str">
        <f>IF(Q52&lt;&gt;11,"ILLEGAL NO. OF PLAYERS","")</f>
        <v>ILLEGAL NO. OF PLAYERS</v>
      </c>
      <c r="N60" s="386"/>
      <c r="O60" s="386"/>
      <c r="P60" s="386"/>
      <c r="Q60" s="386"/>
      <c r="R60" s="387"/>
      <c r="S60" s="393" t="str">
        <f>IF(W52&lt;&gt;11,"ILLEGAL NO. OF PLAYERS","")</f>
        <v>ILLEGAL NO. OF PLAYERS</v>
      </c>
      <c r="T60" s="386"/>
      <c r="U60" s="386"/>
      <c r="V60" s="386"/>
      <c r="W60" s="386"/>
      <c r="X60" s="387"/>
      <c r="Y60" s="385" t="str">
        <f>IF(AC52&lt;&gt;11,"ILLEGAL NO. OF PLAYERS","")</f>
        <v>ILLEGAL NO. OF PLAYERS</v>
      </c>
      <c r="Z60" s="386"/>
      <c r="AA60" s="386"/>
      <c r="AB60" s="386"/>
      <c r="AC60" s="386"/>
      <c r="AD60" s="387"/>
      <c r="AG60" s="2" t="s">
        <v>71</v>
      </c>
      <c r="AH60" s="82"/>
      <c r="AI60" s="82"/>
      <c r="AJ60" s="82"/>
      <c r="AK60" s="82"/>
    </row>
    <row r="61" spans="1:37" s="2" customFormat="1" ht="12.75">
      <c r="A61" s="393" t="str">
        <f>IF(E51&lt;&gt;1,"ILLEGAL PEN TAKER",IF(A37="","PEN TAKER REQUIRED",""))</f>
        <v>ILLEGAL PEN TAKER</v>
      </c>
      <c r="B61" s="386"/>
      <c r="C61" s="386"/>
      <c r="D61" s="386"/>
      <c r="E61" s="386"/>
      <c r="F61" s="387"/>
      <c r="G61" s="393" t="str">
        <f>IF(K51&lt;&gt;1,"ILLEGAL PEN TAKER","")</f>
        <v>ILLEGAL PEN TAKER</v>
      </c>
      <c r="H61" s="386"/>
      <c r="I61" s="386"/>
      <c r="J61" s="386"/>
      <c r="K61" s="386"/>
      <c r="L61" s="387"/>
      <c r="M61" s="393" t="str">
        <f>IF(Q51&lt;&gt;1,"ILLEGAL PEN TAKER","")</f>
        <v>ILLEGAL PEN TAKER</v>
      </c>
      <c r="N61" s="386"/>
      <c r="O61" s="386"/>
      <c r="P61" s="386"/>
      <c r="Q61" s="386"/>
      <c r="R61" s="387"/>
      <c r="S61" s="393" t="str">
        <f>IF(W51&lt;&gt;1,"ILLEGAL PEN TAKER","")</f>
        <v>ILLEGAL PEN TAKER</v>
      </c>
      <c r="T61" s="386"/>
      <c r="U61" s="386"/>
      <c r="V61" s="386"/>
      <c r="W61" s="386"/>
      <c r="X61" s="387"/>
      <c r="Y61" s="385" t="str">
        <f>IF(AC51&lt;&gt;1,"ILLEGAL PEN TAKER","")</f>
        <v>ILLEGAL PEN TAKER</v>
      </c>
      <c r="Z61" s="386"/>
      <c r="AA61" s="386"/>
      <c r="AB61" s="386"/>
      <c r="AC61" s="386"/>
      <c r="AD61" s="387"/>
      <c r="AG61" s="2" t="s">
        <v>73</v>
      </c>
      <c r="AH61" s="82"/>
      <c r="AI61" s="82"/>
      <c r="AJ61" s="82"/>
      <c r="AK61" s="82"/>
    </row>
    <row r="62" spans="1:37" s="2" customFormat="1" ht="12.75">
      <c r="A62" s="393" t="str">
        <f>IF(E50&gt;0,"SUB IS ALREADY PLAYING",IF(A38="","SUB REQUIRED",""))</f>
        <v>SUB REQUIRED</v>
      </c>
      <c r="B62" s="386"/>
      <c r="C62" s="386"/>
      <c r="D62" s="386"/>
      <c r="E62" s="386"/>
      <c r="F62" s="387"/>
      <c r="G62" s="393" t="str">
        <f>IF(K50&gt;0,"SUB IS ALREADY PLAYING",IF(G38="","SUB REQUIRED",""))</f>
        <v>SUB REQUIRED</v>
      </c>
      <c r="H62" s="386"/>
      <c r="I62" s="386"/>
      <c r="J62" s="386"/>
      <c r="K62" s="386"/>
      <c r="L62" s="387"/>
      <c r="M62" s="393" t="str">
        <f>IF(Q50&gt;0,"SUB IS ALREADY PLAYING",IF(M38="","SUB REQUIRED",""))</f>
        <v>SUB REQUIRED</v>
      </c>
      <c r="N62" s="386"/>
      <c r="O62" s="386"/>
      <c r="P62" s="386"/>
      <c r="Q62" s="386"/>
      <c r="R62" s="387"/>
      <c r="S62" s="393" t="str">
        <f>IF(W50&gt;0,"SUB IS ALREADY PLAYING",IF(S38="","SUB REQUIRED",""))</f>
        <v>SUB REQUIRED</v>
      </c>
      <c r="T62" s="386"/>
      <c r="U62" s="386"/>
      <c r="V62" s="386"/>
      <c r="W62" s="386"/>
      <c r="X62" s="387"/>
      <c r="Y62" s="385" t="str">
        <f>IF(AC50&gt;0,"SUB IS ALREADY PLAYING",IF(Y38="","SUB REQUIRED",""))</f>
        <v>SUB REQUIRED</v>
      </c>
      <c r="Z62" s="386"/>
      <c r="AA62" s="386"/>
      <c r="AB62" s="386"/>
      <c r="AC62" s="386"/>
      <c r="AD62" s="387"/>
      <c r="AG62" s="2" t="s">
        <v>75</v>
      </c>
      <c r="AH62" s="82"/>
      <c r="AI62" s="82"/>
      <c r="AJ62" s="82"/>
      <c r="AK62" s="82"/>
    </row>
    <row r="63" spans="1:37" s="2" customFormat="1" ht="12.75">
      <c r="A63" s="393" t="str">
        <f>IF(AG17="GK","",IF(AG17="GK/SW","",IF(AG17="GS","",IF(AG17="SUT","","ILLEGAL GK"))))</f>
        <v>ILLEGAL GK</v>
      </c>
      <c r="B63" s="386"/>
      <c r="C63" s="386"/>
      <c r="D63" s="386"/>
      <c r="E63" s="386"/>
      <c r="F63" s="387"/>
      <c r="G63" s="393" t="str">
        <f>IF(AH17="GK","",IF(AH17="GK/SW","",IF(AH17="GS","",IF(AH17="SUT","","ILLEGAL GK"))))</f>
        <v>ILLEGAL GK</v>
      </c>
      <c r="H63" s="386"/>
      <c r="I63" s="386"/>
      <c r="J63" s="386"/>
      <c r="K63" s="386"/>
      <c r="L63" s="387"/>
      <c r="M63" s="393" t="str">
        <f>IF(AI17="GK","",IF(AI17="GK/SW","",IF(AI17="GS","",IF(AI17="SUT","","ILLEGAL GK"))))</f>
        <v>ILLEGAL GK</v>
      </c>
      <c r="N63" s="386"/>
      <c r="O63" s="386"/>
      <c r="P63" s="386"/>
      <c r="Q63" s="386"/>
      <c r="R63" s="387"/>
      <c r="S63" s="393" t="str">
        <f>IF(AJ17="GK","",IF(AJ17="GK/SW","",IF(AJ17="GS","",IF(AJ17="SUT","","ILLEGAL GK"))))</f>
        <v>ILLEGAL GK</v>
      </c>
      <c r="T63" s="386"/>
      <c r="U63" s="386"/>
      <c r="V63" s="386"/>
      <c r="W63" s="386"/>
      <c r="X63" s="387"/>
      <c r="Y63" s="385" t="str">
        <f>IF(AK17="GK","",IF(AK17="GK/SW","",IF(AK17="GS","",IF(AK17="SUT","","ILLEGAL GK"))))</f>
        <v>ILLEGAL GK</v>
      </c>
      <c r="Z63" s="386"/>
      <c r="AA63" s="386"/>
      <c r="AB63" s="386"/>
      <c r="AC63" s="386"/>
      <c r="AD63" s="387"/>
      <c r="AG63" s="2" t="s">
        <v>84</v>
      </c>
      <c r="AH63" s="82"/>
      <c r="AI63" s="82"/>
      <c r="AJ63" s="82"/>
      <c r="AK63" s="82"/>
    </row>
    <row r="64" spans="1:37" s="2" customFormat="1" ht="12.75">
      <c r="A64" s="393">
        <f>IF(AG18="SW","",IF(AG18="GK/SW","",IF(AG18="SUT","",IF(AG18="SUT","",IF(AG18=0,"","ILLEGAL SW")))))</f>
      </c>
      <c r="B64" s="386"/>
      <c r="C64" s="386"/>
      <c r="D64" s="386"/>
      <c r="E64" s="386"/>
      <c r="F64" s="387"/>
      <c r="G64" s="393">
        <f>IF(AH18="SW","",IF(AH18="GK/SW","",IF(AH18="SUT","",IF(AH18="SUT","",IF(AH18=0,"","ILLEGAL SW")))))</f>
      </c>
      <c r="H64" s="386"/>
      <c r="I64" s="386"/>
      <c r="J64" s="386"/>
      <c r="K64" s="386"/>
      <c r="L64" s="387"/>
      <c r="M64" s="393">
        <f>IF(AI18="SW","",IF(AI18="GK/SW","",IF(AI18="SUT","",IF(AI18="SUT","",IF(AI18=0,"","ILLEGAL SW")))))</f>
      </c>
      <c r="N64" s="386"/>
      <c r="O64" s="386"/>
      <c r="P64" s="386"/>
      <c r="Q64" s="386"/>
      <c r="R64" s="387"/>
      <c r="S64" s="393">
        <f>IF(AJ18="SW","",IF(AJ18="GK/SW","",IF(AJ18="SUT","",IF(AJ18="SUT","",IF(AJ18=0,"","ILLEGAL SW")))))</f>
      </c>
      <c r="T64" s="386"/>
      <c r="U64" s="386"/>
      <c r="V64" s="386"/>
      <c r="W64" s="386"/>
      <c r="X64" s="387"/>
      <c r="Y64" s="385">
        <f>IF(AK18="SW","",IF(AK18="GK/SW","",IF(AK18="SUT","",IF(AK18="SUT","",IF(AK18=0,"","ILLEGAL SW")))))</f>
      </c>
      <c r="Z64" s="386"/>
      <c r="AA64" s="386"/>
      <c r="AB64" s="386"/>
      <c r="AC64" s="386"/>
      <c r="AD64" s="387"/>
      <c r="AG64" s="2" t="s">
        <v>85</v>
      </c>
      <c r="AH64" s="82"/>
      <c r="AI64" s="82"/>
      <c r="AJ64" s="82"/>
      <c r="AK64" s="82"/>
    </row>
    <row r="65" spans="1:37" s="2" customFormat="1" ht="12.75">
      <c r="A65" s="393">
        <f>IF(AH6+AH7&gt;0,"CANNOT COACH TEMP GK","")</f>
      </c>
      <c r="B65" s="386"/>
      <c r="C65" s="386"/>
      <c r="D65" s="386"/>
      <c r="E65" s="386"/>
      <c r="F65" s="387"/>
      <c r="G65" s="393">
        <f>A65</f>
      </c>
      <c r="H65" s="386"/>
      <c r="I65" s="386"/>
      <c r="J65" s="386"/>
      <c r="K65" s="386"/>
      <c r="L65" s="387"/>
      <c r="M65" s="393">
        <f>A65</f>
      </c>
      <c r="N65" s="386"/>
      <c r="O65" s="386"/>
      <c r="P65" s="386"/>
      <c r="Q65" s="386"/>
      <c r="R65" s="387"/>
      <c r="S65" s="393">
        <f>A65</f>
      </c>
      <c r="T65" s="386"/>
      <c r="U65" s="386"/>
      <c r="V65" s="386"/>
      <c r="W65" s="386"/>
      <c r="X65" s="387"/>
      <c r="Y65" s="385">
        <f>A65</f>
      </c>
      <c r="Z65" s="386"/>
      <c r="AA65" s="386"/>
      <c r="AB65" s="386"/>
      <c r="AC65" s="386"/>
      <c r="AD65" s="387"/>
      <c r="AG65" s="72" t="s">
        <v>142</v>
      </c>
      <c r="AH65" s="82"/>
      <c r="AI65" s="82"/>
      <c r="AJ65" s="82"/>
      <c r="AK65" s="82"/>
    </row>
    <row r="66" spans="1:37" s="2" customFormat="1" ht="12.75">
      <c r="A66" s="393">
        <f>IF(SUM(D43:F43)&lt;&gt;0,IF(SUM(D43:F43)&lt;&gt;6,"PFD ERROR",""),"")</f>
      </c>
      <c r="B66" s="386"/>
      <c r="C66" s="386"/>
      <c r="D66" s="386"/>
      <c r="E66" s="386"/>
      <c r="F66" s="387"/>
      <c r="G66" s="393">
        <f>IF(SUM(J43:L43)&lt;&gt;0,IF(SUM(J43:L43)&lt;&gt;6,"PFD ERROR",""),"")</f>
      </c>
      <c r="H66" s="386"/>
      <c r="I66" s="386"/>
      <c r="J66" s="386"/>
      <c r="K66" s="386"/>
      <c r="L66" s="387"/>
      <c r="M66" s="393">
        <f>IF(SUM(P43:R43)&lt;&gt;0,IF(SUM(P43:R43)&lt;&gt;6,"PFD ERROR",""),"")</f>
      </c>
      <c r="N66" s="386"/>
      <c r="O66" s="386"/>
      <c r="P66" s="386"/>
      <c r="Q66" s="386"/>
      <c r="R66" s="387"/>
      <c r="S66" s="393">
        <f>IF(SUM(V43:X43)&lt;&gt;0,IF(SUM(V43:X43)&lt;&gt;6,"PFD ERROR",""),"")</f>
      </c>
      <c r="T66" s="386"/>
      <c r="U66" s="386"/>
      <c r="V66" s="386"/>
      <c r="W66" s="386"/>
      <c r="X66" s="387"/>
      <c r="Y66" s="385">
        <f>IF(SUM(AB43:AD43)&lt;&gt;0,IF(SUM(AB43:AD43)&lt;&gt;6,"PFD ERROR",""),"")</f>
      </c>
      <c r="Z66" s="386"/>
      <c r="AA66" s="386"/>
      <c r="AB66" s="386"/>
      <c r="AC66" s="386"/>
      <c r="AD66" s="387"/>
      <c r="AG66" s="72" t="s">
        <v>145</v>
      </c>
      <c r="AH66" s="82"/>
      <c r="AI66" s="82"/>
      <c r="AJ66" s="82"/>
      <c r="AK66" s="82"/>
    </row>
    <row r="67" spans="1:37" s="2" customFormat="1" ht="12.75">
      <c r="A67" s="393">
        <f>IF(C42&lt;(D42+E42+F42),"TOO MUCH H/A USED","")</f>
      </c>
      <c r="B67" s="386"/>
      <c r="C67" s="386"/>
      <c r="D67" s="386"/>
      <c r="E67" s="386"/>
      <c r="F67" s="387"/>
      <c r="G67" s="393">
        <f>IF(I42&lt;(J42+K42+L42),"TOO MUCH H/A USED","")</f>
      </c>
      <c r="H67" s="386"/>
      <c r="I67" s="386"/>
      <c r="J67" s="386"/>
      <c r="K67" s="386"/>
      <c r="L67" s="387"/>
      <c r="M67" s="393">
        <f>IF(O42&lt;(P42+Q42+R42),"TOO MUCH H/A USED","")</f>
      </c>
      <c r="N67" s="386"/>
      <c r="O67" s="386"/>
      <c r="P67" s="386"/>
      <c r="Q67" s="386"/>
      <c r="R67" s="387"/>
      <c r="S67" s="393">
        <f>IF(U42&lt;(V42+W42+X42),"TOO MUCH H/A USED","")</f>
      </c>
      <c r="T67" s="386"/>
      <c r="U67" s="386"/>
      <c r="V67" s="386"/>
      <c r="W67" s="386"/>
      <c r="X67" s="387"/>
      <c r="Y67" s="385">
        <f>IF(AA42&lt;(AB42+AC42+AD42),"TOO MUCH H/A USED","")</f>
      </c>
      <c r="Z67" s="386"/>
      <c r="AA67" s="386"/>
      <c r="AB67" s="386"/>
      <c r="AC67" s="386"/>
      <c r="AD67" s="387"/>
      <c r="AG67" s="72" t="s">
        <v>146</v>
      </c>
      <c r="AH67" s="82"/>
      <c r="AI67" s="82"/>
      <c r="AJ67" s="82"/>
      <c r="AK67" s="82"/>
    </row>
    <row r="68" spans="1:37" s="2" customFormat="1" ht="12.75">
      <c r="A68" s="393">
        <f>IF(A81="NO H/A ALLOWED","",(IF(C42&lt;=(D42+E42+F42),"","NOT ENOUGH H/A USED")))</f>
      </c>
      <c r="B68" s="386"/>
      <c r="C68" s="386"/>
      <c r="D68" s="386"/>
      <c r="E68" s="386"/>
      <c r="F68" s="387"/>
      <c r="G68" s="393">
        <f>IF(G81="NO H/A ALLOWED","",(IF(I42&lt;=(J42+K42+L42),"","NOT ENOUGH H/A USED")))</f>
      </c>
      <c r="H68" s="386"/>
      <c r="I68" s="386"/>
      <c r="J68" s="386"/>
      <c r="K68" s="386"/>
      <c r="L68" s="387"/>
      <c r="M68" s="393">
        <f>IF(M81="NO H/A ALLOWED","",(IF(O42&lt;=(P42+Q42+R42),"","NOT ENOUGH H/A USED")))</f>
      </c>
      <c r="N68" s="386"/>
      <c r="O68" s="386"/>
      <c r="P68" s="386"/>
      <c r="Q68" s="386"/>
      <c r="R68" s="387"/>
      <c r="S68" s="393">
        <f>IF(S81="NO H/A ALLOWED","",(IF(U42&lt;=(V42+W42+X42),"","NOT ENOUGH H/A USED")))</f>
      </c>
      <c r="T68" s="386"/>
      <c r="U68" s="386"/>
      <c r="V68" s="386"/>
      <c r="W68" s="386"/>
      <c r="X68" s="387"/>
      <c r="Y68" s="385">
        <f>IF(Y81="NO H/A ALLOWED","",(IF(AA42&lt;=(AB42+AC42+AD42),"","NOT ENOUGH H/A USED")))</f>
      </c>
      <c r="Z68" s="386"/>
      <c r="AA68" s="386"/>
      <c r="AB68" s="386"/>
      <c r="AC68" s="386"/>
      <c r="AD68" s="387"/>
      <c r="AG68" s="72" t="s">
        <v>147</v>
      </c>
      <c r="AH68" s="82"/>
      <c r="AI68" s="82"/>
      <c r="AJ68" s="82"/>
      <c r="AK68" s="82"/>
    </row>
    <row r="69" spans="1:37" s="2" customFormat="1" ht="12.75">
      <c r="A69" s="393">
        <f>IF(A81&lt;&gt;"NO H/A ALLOWED","",(IF(SUM(D42:F42)&gt;0,"NO H/A ALLOWED","")))</f>
      </c>
      <c r="B69" s="386"/>
      <c r="C69" s="386"/>
      <c r="D69" s="386"/>
      <c r="E69" s="386"/>
      <c r="F69" s="387"/>
      <c r="G69" s="393">
        <f>IF(G81&lt;&gt;"NO H/A ALLOWED","",(IF(SUM(J42:L42)&gt;0,"NO H/A ALLOWED","")))</f>
      </c>
      <c r="H69" s="386"/>
      <c r="I69" s="386"/>
      <c r="J69" s="386"/>
      <c r="K69" s="386"/>
      <c r="L69" s="387"/>
      <c r="M69" s="393">
        <f>IF(M81&lt;&gt;"NO H/A ALLOWED","",(IF(SUM(P42:R42)&gt;0,"NO H/A ALLOWED","")))</f>
      </c>
      <c r="N69" s="386"/>
      <c r="O69" s="386"/>
      <c r="P69" s="386"/>
      <c r="Q69" s="386"/>
      <c r="R69" s="387"/>
      <c r="S69" s="393">
        <f>IF(S81&lt;&gt;"NO H/A ALLOWED","",(IF(SUM(V42:X42)&gt;0,"NO H/A ALLOWED","")))</f>
      </c>
      <c r="T69" s="386"/>
      <c r="U69" s="386"/>
      <c r="V69" s="386"/>
      <c r="W69" s="386"/>
      <c r="X69" s="387"/>
      <c r="Y69" s="385">
        <f>IF(Y81&lt;&gt;"NO H/A ALLOWED","",(IF(SUM(AB42:AD42)&gt;0,"NO H/A ALLOWED","")))</f>
      </c>
      <c r="Z69" s="386"/>
      <c r="AA69" s="386"/>
      <c r="AB69" s="386"/>
      <c r="AC69" s="386"/>
      <c r="AD69" s="387"/>
      <c r="AG69" s="72" t="s">
        <v>144</v>
      </c>
      <c r="AH69" s="82"/>
      <c r="AI69" s="82"/>
      <c r="AJ69" s="82"/>
      <c r="AK69" s="82"/>
    </row>
    <row r="70" spans="1:37" s="2" customFormat="1" ht="12.75">
      <c r="A70" s="393" t="str">
        <f>IF(SUM(B44:F44)&gt;15,"TOO MUCH HARDNESS",IF(SUM(B44:F44)&lt;1,"HARDNESS REQUIRED",""))</f>
        <v>HARDNESS REQUIRED</v>
      </c>
      <c r="B70" s="386"/>
      <c r="C70" s="386"/>
      <c r="D70" s="386"/>
      <c r="E70" s="386"/>
      <c r="F70" s="387"/>
      <c r="G70" s="393" t="str">
        <f>IF(SUM(H44:L44)&gt;15,"TOO MUCH HARDNESS",IF(SUM(H44:L44)&lt;1,"HARDNESS REQUIRED",""))</f>
        <v>HARDNESS REQUIRED</v>
      </c>
      <c r="H70" s="386"/>
      <c r="I70" s="386"/>
      <c r="J70" s="386"/>
      <c r="K70" s="386"/>
      <c r="L70" s="387"/>
      <c r="M70" s="393" t="str">
        <f>IF(SUM(N44:R44)&gt;15,"TOO MUCH HARDNESS",IF(SUM(N44:R44)&lt;1,"HARDNESS REQUIRED",""))</f>
        <v>HARDNESS REQUIRED</v>
      </c>
      <c r="N70" s="386"/>
      <c r="O70" s="386"/>
      <c r="P70" s="386"/>
      <c r="Q70" s="386"/>
      <c r="R70" s="387"/>
      <c r="S70" s="393" t="str">
        <f>IF(SUM(T44:X44)&gt;15,"TOO MUCH HARDNESS",IF(SUM(T44:X44)&lt;1,"HARDNESS REQUIRED",""))</f>
        <v>HARDNESS REQUIRED</v>
      </c>
      <c r="T70" s="386"/>
      <c r="U70" s="386"/>
      <c r="V70" s="386"/>
      <c r="W70" s="386"/>
      <c r="X70" s="387"/>
      <c r="Y70" s="385" t="str">
        <f>IF(SUM(Z44:AD44)&gt;15,"TOO MUCH HARDNESS",IF(SUM(Z44:AD44)&lt;1,"HARDNESS REQUIRED",""))</f>
        <v>HARDNESS REQUIRED</v>
      </c>
      <c r="Z70" s="386"/>
      <c r="AA70" s="386"/>
      <c r="AB70" s="386"/>
      <c r="AC70" s="386"/>
      <c r="AD70" s="387"/>
      <c r="AG70" s="72" t="s">
        <v>150</v>
      </c>
      <c r="AH70" s="82"/>
      <c r="AI70" s="82"/>
      <c r="AJ70" s="82"/>
      <c r="AK70" s="82"/>
    </row>
    <row r="71" spans="1:37" s="2" customFormat="1" ht="12.75">
      <c r="A71" s="393">
        <f>IF(squad!E15&lt;Orders!E49,"TOO MANY GPP'S USED","")</f>
      </c>
      <c r="B71" s="386"/>
      <c r="C71" s="386"/>
      <c r="D71" s="386"/>
      <c r="E71" s="386"/>
      <c r="F71" s="387"/>
      <c r="G71" s="393">
        <f>IF(squad!E15&lt;Orders!E49+K49,"TOO MANY GPP'S USED","")</f>
      </c>
      <c r="H71" s="386"/>
      <c r="I71" s="386"/>
      <c r="J71" s="386"/>
      <c r="K71" s="386"/>
      <c r="L71" s="387"/>
      <c r="M71" s="393">
        <f>IF(squad!E15&lt;Orders!E49+K49+Q49,"TOO MANY GPP'S USED","")</f>
      </c>
      <c r="N71" s="386"/>
      <c r="O71" s="386"/>
      <c r="P71" s="386"/>
      <c r="Q71" s="386"/>
      <c r="R71" s="387"/>
      <c r="S71" s="393">
        <f>IF(squad!E15&lt;Orders!E49+K49+Q49+W49,"TOO MANY GPP'S USED","")</f>
      </c>
      <c r="T71" s="386"/>
      <c r="U71" s="386"/>
      <c r="V71" s="386"/>
      <c r="W71" s="386"/>
      <c r="X71" s="387"/>
      <c r="Y71" s="385">
        <f>IF(squad!E15&lt;Orders!E49+K49+Q49+W49+AC49,"TOO MANY GPP'S USED","")</f>
      </c>
      <c r="Z71" s="386"/>
      <c r="AA71" s="386"/>
      <c r="AB71" s="386"/>
      <c r="AC71" s="386"/>
      <c r="AD71" s="387"/>
      <c r="AG71" s="72" t="s">
        <v>152</v>
      </c>
      <c r="AH71" s="82"/>
      <c r="AI71" s="82"/>
      <c r="AJ71" s="82"/>
      <c r="AK71" s="82"/>
    </row>
    <row r="72" spans="1:37" s="2" customFormat="1" ht="12.75">
      <c r="A72" s="393">
        <f>IF(E47="Y/N","OFFSIDE DETAILS",IF(E47="N","",IF(E47="Y",IF(AM17=1,"CANNOT USE OST",""))))</f>
      </c>
      <c r="B72" s="386"/>
      <c r="C72" s="386"/>
      <c r="D72" s="386"/>
      <c r="E72" s="386"/>
      <c r="F72" s="387"/>
      <c r="G72" s="393">
        <f>IF(K47="Y/N","OFFSIDE DETAILS",IF(K47="N","",IF(K47="Y",IF(AN17=1,"CANNOT USE OST",""))))</f>
      </c>
      <c r="H72" s="386"/>
      <c r="I72" s="386"/>
      <c r="J72" s="386"/>
      <c r="K72" s="386"/>
      <c r="L72" s="387"/>
      <c r="M72" s="393">
        <f>IF(Q47="Y/N","OFFSIDE DETAILS",IF(Q47="N","",IF(Q47="Y",IF(AO17=1,"CANNOT USE OST",""))))</f>
      </c>
      <c r="N72" s="386"/>
      <c r="O72" s="386"/>
      <c r="P72" s="386"/>
      <c r="Q72" s="386"/>
      <c r="R72" s="387"/>
      <c r="S72" s="393">
        <f>IF(W47="Y/N","OFFSIDE DETAILS",IF(W47="N","",IF(W47="Y",IF(AP17=1,"CANNOT USE OST",""))))</f>
      </c>
      <c r="T72" s="386"/>
      <c r="U72" s="386"/>
      <c r="V72" s="386"/>
      <c r="W72" s="386"/>
      <c r="X72" s="387"/>
      <c r="Y72" s="385">
        <f>IF(AC47="Y/N","OFFSIDE DETAILS",IF(AC47="N","",IF(AC47="Y",IF(AQ17=1,"CANNOT USE OST",""))))</f>
      </c>
      <c r="Z72" s="386"/>
      <c r="AA72" s="386"/>
      <c r="AB72" s="386"/>
      <c r="AC72" s="386"/>
      <c r="AD72" s="387"/>
      <c r="AG72" s="72" t="s">
        <v>155</v>
      </c>
      <c r="AH72" s="82"/>
      <c r="AI72" s="82"/>
      <c r="AJ72" s="82"/>
      <c r="AK72" s="82"/>
    </row>
    <row r="73" spans="1:37" s="2" customFormat="1" ht="12.75">
      <c r="A73" s="400">
        <f>IF(SUM(A74:F74)&gt;0,"3 X RULE BROKEN","")</f>
      </c>
      <c r="B73" s="391"/>
      <c r="C73" s="391"/>
      <c r="D73" s="391"/>
      <c r="E73" s="391"/>
      <c r="F73" s="392"/>
      <c r="G73" s="400">
        <f>IF(SUM(G74:L74)&gt;0,"3 X RULE BROKEN","")</f>
      </c>
      <c r="H73" s="391"/>
      <c r="I73" s="391"/>
      <c r="J73" s="391"/>
      <c r="K73" s="391"/>
      <c r="L73" s="392"/>
      <c r="M73" s="400">
        <f>IF(SUM(M74:R74)&gt;0,"3 X RULE BROKEN","")</f>
      </c>
      <c r="N73" s="391"/>
      <c r="O73" s="391"/>
      <c r="P73" s="391"/>
      <c r="Q73" s="391"/>
      <c r="R73" s="392"/>
      <c r="S73" s="400">
        <f>IF(SUM(S74:X74)&gt;0,"3 X RULE BROKEN","")</f>
      </c>
      <c r="T73" s="391"/>
      <c r="U73" s="391"/>
      <c r="V73" s="391"/>
      <c r="W73" s="391"/>
      <c r="X73" s="392"/>
      <c r="Y73" s="391">
        <f>IF(SUM(Y74:AD74)&gt;0,"3 X RULE BROKEN","")</f>
      </c>
      <c r="Z73" s="391"/>
      <c r="AA73" s="391"/>
      <c r="AB73" s="391"/>
      <c r="AC73" s="391"/>
      <c r="AD73" s="392"/>
      <c r="AG73" s="72" t="s">
        <v>156</v>
      </c>
      <c r="AH73" s="82"/>
      <c r="AI73" s="82"/>
      <c r="AJ73" s="82"/>
      <c r="AK73" s="82"/>
    </row>
    <row r="74" spans="1:37" s="2" customFormat="1" ht="12.75" hidden="1">
      <c r="A74" s="259">
        <f>IF(D46&gt;(E46*3),1,0)</f>
        <v>0</v>
      </c>
      <c r="B74" s="69">
        <f>IF(D46&gt;(F46*3),1,0)</f>
        <v>0</v>
      </c>
      <c r="C74" s="69">
        <f>IF(E46&gt;(D46*3),1,0)</f>
        <v>0</v>
      </c>
      <c r="D74" s="69">
        <f>IF(E46&gt;(F46*3),1,0)</f>
        <v>0</v>
      </c>
      <c r="E74" s="69">
        <f>IF(F46&gt;(D46*3),1,0)</f>
        <v>0</v>
      </c>
      <c r="F74" s="260">
        <f>IF(F46&gt;(E46*3),1,0)</f>
        <v>0</v>
      </c>
      <c r="G74" s="259">
        <f>IF(J46&gt;(K46*3),1,0)</f>
        <v>0</v>
      </c>
      <c r="H74" s="69">
        <f>IF(J46&gt;(L46*3),1,0)</f>
        <v>0</v>
      </c>
      <c r="I74" s="69">
        <f>IF(K46&gt;(J46*3),1,0)</f>
        <v>0</v>
      </c>
      <c r="J74" s="69">
        <f>IF(K46&gt;(L46*3),1,0)</f>
        <v>0</v>
      </c>
      <c r="K74" s="69">
        <f>IF(L46&gt;(J46*3),1,0)</f>
        <v>0</v>
      </c>
      <c r="L74" s="260">
        <f>IF(L46&gt;(K46*3),1,0)</f>
        <v>0</v>
      </c>
      <c r="M74" s="259">
        <f>IF(P46&gt;(Q46*3),1,0)</f>
        <v>0</v>
      </c>
      <c r="N74" s="69">
        <f>IF(P46&gt;(R46*3),1,0)</f>
        <v>0</v>
      </c>
      <c r="O74" s="69">
        <f>IF(Q46&gt;(P46*3),1,0)</f>
        <v>0</v>
      </c>
      <c r="P74" s="69">
        <f>IF(Q46&gt;(R46*3),1,0)</f>
        <v>0</v>
      </c>
      <c r="Q74" s="69">
        <f>IF(R46&gt;(P46*3),1,0)</f>
        <v>0</v>
      </c>
      <c r="R74" s="260">
        <f>IF(R46&gt;(Q46*3),1,0)</f>
        <v>0</v>
      </c>
      <c r="S74" s="259">
        <f>IF(V46&gt;(W46*3),1,0)</f>
        <v>0</v>
      </c>
      <c r="T74" s="69">
        <f>IF(V46&gt;(X46*3),1,0)</f>
        <v>0</v>
      </c>
      <c r="U74" s="69">
        <f>IF(W46&gt;(V46*3),1,0)</f>
        <v>0</v>
      </c>
      <c r="V74" s="69">
        <f>IF(W46&gt;(X46*3),1,0)</f>
        <v>0</v>
      </c>
      <c r="W74" s="69">
        <f>IF(X46&gt;(V46*3),1,0)</f>
        <v>0</v>
      </c>
      <c r="X74" s="260">
        <f>IF(X46&gt;(W46*3),1,0)</f>
        <v>0</v>
      </c>
      <c r="Y74" s="252">
        <f>IF(AB46&gt;(AC46*3),1,0)</f>
        <v>0</v>
      </c>
      <c r="Z74" s="69">
        <f>IF(AB46&gt;(AD46*3),1,0)</f>
        <v>0</v>
      </c>
      <c r="AA74" s="69">
        <f>IF(AC46&gt;(AB46*3),1,0)</f>
        <v>0</v>
      </c>
      <c r="AB74" s="69">
        <f>IF(AC46&gt;(AD46*3),1,0)</f>
        <v>0</v>
      </c>
      <c r="AC74" s="69">
        <f>IF(AD46&gt;(AB46*3),1,0)</f>
        <v>0</v>
      </c>
      <c r="AD74" s="260">
        <f>IF(AD46&gt;(AC46*3),1,0)</f>
        <v>0</v>
      </c>
      <c r="AG74" s="72"/>
      <c r="AH74" s="82"/>
      <c r="AI74" s="82"/>
      <c r="AJ74" s="82"/>
      <c r="AK74" s="82"/>
    </row>
    <row r="75" spans="1:37" s="2" customFormat="1" ht="12.75">
      <c r="A75" s="393">
        <f>IF(A163="GS",IF(E164&lt;&gt;"SW","MUST PLAY SW WITH GS",""),"")</f>
      </c>
      <c r="B75" s="386"/>
      <c r="C75" s="386"/>
      <c r="D75" s="386"/>
      <c r="E75" s="386"/>
      <c r="F75" s="387"/>
      <c r="G75" s="393">
        <f>IF(G163="GS",IF(K164&lt;&gt;"SW","MUST PLAY SW WITH GS",""),"")</f>
      </c>
      <c r="H75" s="386"/>
      <c r="I75" s="386"/>
      <c r="J75" s="386"/>
      <c r="K75" s="386"/>
      <c r="L75" s="387"/>
      <c r="M75" s="393">
        <f>IF(M163="GS",IF(Q164&lt;&gt;"SW","MUST PLAY SW WITH GS",""),"")</f>
      </c>
      <c r="N75" s="386"/>
      <c r="O75" s="386"/>
      <c r="P75" s="386"/>
      <c r="Q75" s="386"/>
      <c r="R75" s="387"/>
      <c r="S75" s="393">
        <f>IF(S163="GS",IF(W164&lt;&gt;"SW","MUST PLAY SW WITH GS",""),"")</f>
      </c>
      <c r="T75" s="386"/>
      <c r="U75" s="386"/>
      <c r="V75" s="386"/>
      <c r="W75" s="386"/>
      <c r="X75" s="387"/>
      <c r="Y75" s="385">
        <f>IF(Y163="GS",IF(AC164&lt;&gt;"SW","MUST PLAY SW WITH GS",""),"")</f>
      </c>
      <c r="Z75" s="386"/>
      <c r="AA75" s="386"/>
      <c r="AB75" s="386"/>
      <c r="AC75" s="386"/>
      <c r="AD75" s="387"/>
      <c r="AG75" s="72" t="s">
        <v>178</v>
      </c>
      <c r="AH75" s="82"/>
      <c r="AI75" s="82"/>
      <c r="AJ75" s="82"/>
      <c r="AK75" s="82"/>
    </row>
    <row r="76" spans="1:37" s="2" customFormat="1" ht="12.75">
      <c r="A76" s="393">
        <f>IF(AV18&gt;0,"ILLEGAL OOP PLAYER","")</f>
      </c>
      <c r="B76" s="386"/>
      <c r="C76" s="386"/>
      <c r="D76" s="386"/>
      <c r="E76" s="386"/>
      <c r="F76" s="387"/>
      <c r="G76" s="393">
        <f>IF(BB18&gt;0,"ILLEGAL OOP PLAYER","")</f>
      </c>
      <c r="H76" s="386"/>
      <c r="I76" s="386"/>
      <c r="J76" s="386"/>
      <c r="K76" s="386"/>
      <c r="L76" s="387"/>
      <c r="M76" s="393">
        <f>IF(BH18&gt;0,"ILLEGAL OOP PLAYER","")</f>
      </c>
      <c r="N76" s="386"/>
      <c r="O76" s="386"/>
      <c r="P76" s="386"/>
      <c r="Q76" s="386"/>
      <c r="R76" s="387"/>
      <c r="S76" s="393">
        <f>IF(BN18&gt;0,"ILLEGAL OOP PLAYER","")</f>
      </c>
      <c r="T76" s="386"/>
      <c r="U76" s="386"/>
      <c r="V76" s="386"/>
      <c r="W76" s="386"/>
      <c r="X76" s="387"/>
      <c r="Y76" s="385">
        <f>IF(BT18&gt;0,"ILLEGAL OOP PLAYER","")</f>
      </c>
      <c r="Z76" s="386"/>
      <c r="AA76" s="386"/>
      <c r="AB76" s="386"/>
      <c r="AC76" s="386"/>
      <c r="AD76" s="387"/>
      <c r="AG76" s="72" t="s">
        <v>188</v>
      </c>
      <c r="AH76" s="82"/>
      <c r="AI76" s="82"/>
      <c r="AJ76" s="82"/>
      <c r="AK76" s="82"/>
    </row>
    <row r="77" spans="1:37" s="2" customFormat="1" ht="12.75">
      <c r="A77" s="393">
        <f>IF(AM38="GK/SW","GK/SW CANNOT PLAY OOP",IF(AM39="GG","GG CANNOT PLAY",IF(AM40="PP","PP CANNOT PLAY",IF(AM41="SS","SS CANNOT PLAY",IF(AM42="CC","CC CANNOT PLAY",IF(AM43="LS","LS CANNOT PLAY OOP",""))))))</f>
      </c>
      <c r="B77" s="386"/>
      <c r="C77" s="386"/>
      <c r="D77" s="386"/>
      <c r="E77" s="386"/>
      <c r="F77" s="387"/>
      <c r="G77" s="393">
        <f>IF(AN38="GK/SW","GK/SW CANNOT PLAY OOP",IF(AN39="GG","GG CANNOT PLAY",IF(AN40="PP","PP CANNOT PLAY",IF(AN41="SS","SS CANNOT PLAY",IF(AN42="CC","CC CANNOT PLAY",IF(AN43="LS","LS CANNOT PLAY OOP",""))))))</f>
      </c>
      <c r="H77" s="386"/>
      <c r="I77" s="386"/>
      <c r="J77" s="386"/>
      <c r="K77" s="386"/>
      <c r="L77" s="387"/>
      <c r="M77" s="393">
        <f>IF(AO38="GK/SW","GK/SW CANNOT PLAY OOP",IF(AO39="GG","GG CANNOT PLAY",IF(AO40="PP","PP CANNOT PLAY",IF(AO41="SS","SS CANNOT PLAY",IF(AO42="CC","CC CANNOT PLAY",IF(AO43="LS","LS CANNOT PLAY OOP",""))))))</f>
      </c>
      <c r="N77" s="386"/>
      <c r="O77" s="386"/>
      <c r="P77" s="386"/>
      <c r="Q77" s="386"/>
      <c r="R77" s="387"/>
      <c r="S77" s="393">
        <f>IF(AP38="GK/SW","GK/SW CANNOT PLAY OOP",IF(AP39="GG","GG CANNOT PLAY",IF(AP40="PP","PP CANNOT PLAY",IF(AP41="SS","SS CANNOT PLAY",IF(AP42="CC","CC CANNOT PLAY",IF(AP43="LS","LS CANNOT PLAY OOP",""))))))</f>
      </c>
      <c r="T77" s="386"/>
      <c r="U77" s="386"/>
      <c r="V77" s="386"/>
      <c r="W77" s="386"/>
      <c r="X77" s="387"/>
      <c r="Y77" s="385">
        <f>IF(AQ38="GK/SW","GK/SW CANNOT PLAY OOP",IF(AQ39="GG","GG CANNOT PLAY",IF(AQ40="PP","PP CANNOT PLAY",IF(AQ41="SS","SS CANNOT PLAY",IF(AQ42="CC","CC CANNOT PLAY",IF(AQ43="LS","LS CANNOT PLAY OOP",""))))))</f>
      </c>
      <c r="Z77" s="386"/>
      <c r="AA77" s="386"/>
      <c r="AB77" s="386"/>
      <c r="AC77" s="386"/>
      <c r="AD77" s="387"/>
      <c r="AG77" s="72" t="s">
        <v>188</v>
      </c>
      <c r="AH77" s="82"/>
      <c r="AI77" s="82"/>
      <c r="AJ77" s="82"/>
      <c r="AK77" s="82"/>
    </row>
    <row r="78" spans="1:37" s="2" customFormat="1" ht="12.75">
      <c r="A78" s="393">
        <f>IF(B224&gt;0,"PLAYER NAMED TWICE","")</f>
      </c>
      <c r="B78" s="386"/>
      <c r="C78" s="386"/>
      <c r="D78" s="386"/>
      <c r="E78" s="386"/>
      <c r="F78" s="387"/>
      <c r="G78" s="393">
        <f>IF(H224&gt;0,"PLAYER NAMED TWICE","")</f>
      </c>
      <c r="H78" s="386"/>
      <c r="I78" s="386"/>
      <c r="J78" s="386"/>
      <c r="K78" s="386"/>
      <c r="L78" s="387"/>
      <c r="M78" s="393">
        <f>IF(N224&gt;0,"PLAYER NAMED TWICE","")</f>
      </c>
      <c r="N78" s="386"/>
      <c r="O78" s="386"/>
      <c r="P78" s="386"/>
      <c r="Q78" s="386"/>
      <c r="R78" s="387"/>
      <c r="S78" s="393">
        <f>IF(T224&gt;0,"PLAYER NAMED TWICE","")</f>
      </c>
      <c r="T78" s="386"/>
      <c r="U78" s="386"/>
      <c r="V78" s="386"/>
      <c r="W78" s="386"/>
      <c r="X78" s="387"/>
      <c r="Y78" s="385">
        <f>IF(Z224&gt;0,"PLAYER NAMED TWICE","")</f>
      </c>
      <c r="Z78" s="386"/>
      <c r="AA78" s="386"/>
      <c r="AB78" s="386"/>
      <c r="AC78" s="386"/>
      <c r="AD78" s="387"/>
      <c r="AG78" s="72"/>
      <c r="AH78" s="82"/>
      <c r="AI78" s="82"/>
      <c r="AJ78" s="82"/>
      <c r="AK78" s="82"/>
    </row>
    <row r="79" spans="1:37" s="2" customFormat="1" ht="12.75">
      <c r="A79" s="393" t="str">
        <f>IF(A83&lt;2,"MIDFIELD ERROR","")</f>
        <v>MIDFIELD ERROR</v>
      </c>
      <c r="B79" s="386"/>
      <c r="C79" s="386"/>
      <c r="D79" s="386"/>
      <c r="E79" s="386"/>
      <c r="F79" s="387"/>
      <c r="G79" s="393" t="str">
        <f>IF(G83&lt;2,"MIDFIELD ERROR","")</f>
        <v>MIDFIELD ERROR</v>
      </c>
      <c r="H79" s="386"/>
      <c r="I79" s="386"/>
      <c r="J79" s="386"/>
      <c r="K79" s="386"/>
      <c r="L79" s="387"/>
      <c r="M79" s="393" t="str">
        <f>IF(M83&lt;2,"MIDFIELD ERROR","")</f>
        <v>MIDFIELD ERROR</v>
      </c>
      <c r="N79" s="386"/>
      <c r="O79" s="386"/>
      <c r="P79" s="386"/>
      <c r="Q79" s="386"/>
      <c r="R79" s="387"/>
      <c r="S79" s="393" t="str">
        <f>IF(S83&lt;2,"MIDFIELD ERROR","")</f>
        <v>MIDFIELD ERROR</v>
      </c>
      <c r="T79" s="386"/>
      <c r="U79" s="386"/>
      <c r="V79" s="386"/>
      <c r="W79" s="386"/>
      <c r="X79" s="387"/>
      <c r="Y79" s="385" t="str">
        <f>IF(Y83&lt;2,"MIDFIELD ERROR","")</f>
        <v>MIDFIELD ERROR</v>
      </c>
      <c r="Z79" s="386"/>
      <c r="AA79" s="386"/>
      <c r="AB79" s="386"/>
      <c r="AC79" s="386"/>
      <c r="AD79" s="387"/>
      <c r="AG79" s="72" t="s">
        <v>395</v>
      </c>
      <c r="AH79" s="82"/>
      <c r="AI79" s="82"/>
      <c r="AJ79" s="82"/>
      <c r="AK79" s="82"/>
    </row>
    <row r="80" spans="1:37" s="2" customFormat="1" ht="12.75">
      <c r="A80" s="400">
        <f>IF(AND(AM20=1,AM18&lt;4),"MORE DEF'S NEEDED","")</f>
      </c>
      <c r="B80" s="391"/>
      <c r="C80" s="391"/>
      <c r="D80" s="391"/>
      <c r="E80" s="391"/>
      <c r="F80" s="392"/>
      <c r="G80" s="400">
        <f>IF(AND(AN20=1,AN18&lt;4),"MORE DEF'S NEEDED","")</f>
      </c>
      <c r="H80" s="391"/>
      <c r="I80" s="391"/>
      <c r="J80" s="391"/>
      <c r="K80" s="391"/>
      <c r="L80" s="392"/>
      <c r="M80" s="400">
        <f>IF(AND(AO20=1,AO18&lt;4),"MORE DEF'S NEEDED","")</f>
      </c>
      <c r="N80" s="391"/>
      <c r="O80" s="391"/>
      <c r="P80" s="391"/>
      <c r="Q80" s="391"/>
      <c r="R80" s="392"/>
      <c r="S80" s="400">
        <f>IF(AND(AP20=1,AP18&lt;4),"MORE DEF'S NEEDED","")</f>
      </c>
      <c r="T80" s="391"/>
      <c r="U80" s="391"/>
      <c r="V80" s="391"/>
      <c r="W80" s="391"/>
      <c r="X80" s="392"/>
      <c r="Y80" s="391">
        <f>IF(AND(AQ20=1,AQ18&lt;4),"MORE DEF'S NEEDED","")</f>
      </c>
      <c r="Z80" s="391"/>
      <c r="AA80" s="391"/>
      <c r="AB80" s="391"/>
      <c r="AC80" s="391"/>
      <c r="AD80" s="392"/>
      <c r="AG80" s="72" t="s">
        <v>394</v>
      </c>
      <c r="AH80" s="82"/>
      <c r="AI80" s="82"/>
      <c r="AJ80" s="82"/>
      <c r="AK80" s="82"/>
    </row>
    <row r="81" spans="1:37" s="2" customFormat="1" ht="13.5" thickBot="1">
      <c r="A81" s="394" t="str">
        <f>IF(E11="H","",IF(E11="HOME","","NO H/A ALLOWED"))</f>
        <v>NO H/A ALLOWED</v>
      </c>
      <c r="B81" s="389"/>
      <c r="C81" s="389"/>
      <c r="D81" s="389"/>
      <c r="E81" s="389"/>
      <c r="F81" s="390"/>
      <c r="G81" s="394" t="str">
        <f>IF(K11="H","",IF(K11="HOME","","NO H/A ALLOWED"))</f>
        <v>NO H/A ALLOWED</v>
      </c>
      <c r="H81" s="389"/>
      <c r="I81" s="389"/>
      <c r="J81" s="389"/>
      <c r="K81" s="389"/>
      <c r="L81" s="390"/>
      <c r="M81" s="394" t="str">
        <f>IF(Q11="H","",IF(Q11="HOME","","NO H/A ALLOWED"))</f>
        <v>NO H/A ALLOWED</v>
      </c>
      <c r="N81" s="389"/>
      <c r="O81" s="389"/>
      <c r="P81" s="389"/>
      <c r="Q81" s="389"/>
      <c r="R81" s="390"/>
      <c r="S81" s="394" t="str">
        <f>IF(W11="H","",IF(W11="HOME","","NO H/A ALLOWED"))</f>
        <v>NO H/A ALLOWED</v>
      </c>
      <c r="T81" s="389"/>
      <c r="U81" s="389"/>
      <c r="V81" s="389"/>
      <c r="W81" s="389"/>
      <c r="X81" s="390"/>
      <c r="Y81" s="388" t="str">
        <f>IF(AC11="H","",IF(AC11="HOME","","NO H/A ALLOWED"))</f>
        <v>NO H/A ALLOWED</v>
      </c>
      <c r="Z81" s="389"/>
      <c r="AA81" s="389"/>
      <c r="AB81" s="389"/>
      <c r="AC81" s="389"/>
      <c r="AD81" s="390"/>
      <c r="AG81" s="72" t="s">
        <v>144</v>
      </c>
      <c r="AH81" s="82"/>
      <c r="AI81" s="82"/>
      <c r="AJ81" s="82"/>
      <c r="AK81" s="82"/>
    </row>
    <row r="82" spans="1:37" s="2" customFormat="1" ht="13.5" thickBot="1">
      <c r="A82" s="403"/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G82" s="82"/>
      <c r="AH82" s="82"/>
      <c r="AI82" s="82"/>
      <c r="AJ82" s="82"/>
      <c r="AK82" s="82"/>
    </row>
    <row r="83" spans="1:37" s="2" customFormat="1" ht="13.5" hidden="1" thickBot="1">
      <c r="A83" s="15">
        <f>COUNTIF(A25:A30,"&gt;0")</f>
        <v>0</v>
      </c>
      <c r="G83" s="15">
        <f>COUNTIF(G25:G30,"&gt;0")</f>
        <v>0</v>
      </c>
      <c r="M83" s="15">
        <f>COUNTIF(M25:M30,"&gt;0")</f>
        <v>0</v>
      </c>
      <c r="S83" s="15">
        <f>COUNTIF(S25:S30,"&gt;0")</f>
        <v>0</v>
      </c>
      <c r="Y83" s="15">
        <f>COUNTIF(Y25:Y30,"&gt;0")</f>
        <v>0</v>
      </c>
      <c r="AG83" s="82"/>
      <c r="AH83" s="82"/>
      <c r="AI83" s="82"/>
      <c r="AJ83" s="82"/>
      <c r="AK83" s="82"/>
    </row>
    <row r="84" spans="1:37" s="2" customFormat="1" ht="12.75">
      <c r="A84" s="515" t="s">
        <v>189</v>
      </c>
      <c r="B84" s="516"/>
      <c r="C84" s="516"/>
      <c r="D84" s="516"/>
      <c r="E84" s="516"/>
      <c r="F84" s="517"/>
      <c r="G84" s="533" t="str">
        <f>N2</f>
        <v>XX</v>
      </c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5"/>
      <c r="AG84" s="82"/>
      <c r="AH84" s="82"/>
      <c r="AI84" s="82"/>
      <c r="AJ84" s="82"/>
      <c r="AK84" s="82"/>
    </row>
    <row r="85" spans="1:37" s="2" customFormat="1" ht="12.75">
      <c r="A85" s="518"/>
      <c r="B85" s="519"/>
      <c r="C85" s="519"/>
      <c r="D85" s="519"/>
      <c r="E85" s="519"/>
      <c r="F85" s="520"/>
      <c r="G85" s="536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8"/>
      <c r="AG85" s="82"/>
      <c r="AH85" s="82"/>
      <c r="AI85" s="82"/>
      <c r="AJ85" s="82"/>
      <c r="AK85" s="82"/>
    </row>
    <row r="86" spans="1:37" s="2" customFormat="1" ht="12.75">
      <c r="A86" s="521" t="s">
        <v>190</v>
      </c>
      <c r="B86" s="522"/>
      <c r="C86" s="523"/>
      <c r="D86" s="527"/>
      <c r="E86" s="528"/>
      <c r="F86" s="529"/>
      <c r="G86" s="539" t="s">
        <v>251</v>
      </c>
      <c r="H86" s="540"/>
      <c r="I86" s="540"/>
      <c r="J86" s="540"/>
      <c r="K86" s="540"/>
      <c r="L86" s="540"/>
      <c r="M86" s="540"/>
      <c r="N86" s="540"/>
      <c r="O86" s="540"/>
      <c r="P86" s="541"/>
      <c r="Q86" s="545"/>
      <c r="R86" s="545"/>
      <c r="S86" s="545"/>
      <c r="T86" s="503" t="s">
        <v>207</v>
      </c>
      <c r="U86" s="504"/>
      <c r="V86" s="504"/>
      <c r="W86" s="504"/>
      <c r="X86" s="504"/>
      <c r="Y86" s="504"/>
      <c r="Z86" s="504"/>
      <c r="AA86" s="504"/>
      <c r="AB86" s="504"/>
      <c r="AC86" s="504"/>
      <c r="AD86" s="505"/>
      <c r="AG86" s="82"/>
      <c r="AH86" s="82"/>
      <c r="AI86" s="82"/>
      <c r="AJ86" s="82"/>
      <c r="AK86" s="82"/>
    </row>
    <row r="87" spans="1:37" s="2" customFormat="1" ht="13.5" thickBot="1">
      <c r="A87" s="524"/>
      <c r="B87" s="525"/>
      <c r="C87" s="526"/>
      <c r="D87" s="530"/>
      <c r="E87" s="531"/>
      <c r="F87" s="532"/>
      <c r="G87" s="542"/>
      <c r="H87" s="543"/>
      <c r="I87" s="543"/>
      <c r="J87" s="543"/>
      <c r="K87" s="543"/>
      <c r="L87" s="543"/>
      <c r="M87" s="543"/>
      <c r="N87" s="543"/>
      <c r="O87" s="543"/>
      <c r="P87" s="544"/>
      <c r="Q87" s="546"/>
      <c r="R87" s="546"/>
      <c r="S87" s="546"/>
      <c r="T87" s="506"/>
      <c r="U87" s="507"/>
      <c r="V87" s="507"/>
      <c r="W87" s="507"/>
      <c r="X87" s="507"/>
      <c r="Y87" s="507"/>
      <c r="Z87" s="507"/>
      <c r="AA87" s="507"/>
      <c r="AB87" s="507"/>
      <c r="AC87" s="507"/>
      <c r="AD87" s="508"/>
      <c r="AG87" s="82"/>
      <c r="AH87" s="82"/>
      <c r="AI87" s="82"/>
      <c r="AJ87" s="82"/>
      <c r="AK87" s="82"/>
    </row>
    <row r="88" spans="1:37" s="2" customFormat="1" ht="12.75">
      <c r="A88" s="407" t="s">
        <v>191</v>
      </c>
      <c r="B88" s="408"/>
      <c r="C88" s="408"/>
      <c r="D88" s="408"/>
      <c r="E88" s="408"/>
      <c r="F88" s="409"/>
      <c r="G88" s="444" t="s">
        <v>203</v>
      </c>
      <c r="H88" s="444"/>
      <c r="I88" s="444"/>
      <c r="J88" s="444"/>
      <c r="K88" s="444"/>
      <c r="L88" s="444" t="s">
        <v>249</v>
      </c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555"/>
      <c r="AG88" s="82"/>
      <c r="AH88" s="82"/>
      <c r="AI88" s="82"/>
      <c r="AJ88" s="82"/>
      <c r="AK88" s="82"/>
    </row>
    <row r="89" spans="1:37" s="2" customFormat="1" ht="12.75">
      <c r="A89" s="162"/>
      <c r="B89" s="163"/>
      <c r="C89" s="164"/>
      <c r="D89" s="460" t="s">
        <v>192</v>
      </c>
      <c r="E89" s="512"/>
      <c r="F89" s="459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9"/>
      <c r="AG89" s="82"/>
      <c r="AH89" s="82"/>
      <c r="AI89" s="82"/>
      <c r="AJ89" s="82"/>
      <c r="AK89" s="82"/>
    </row>
    <row r="90" spans="1:37" s="2" customFormat="1" ht="12.75">
      <c r="A90" s="513" t="s">
        <v>193</v>
      </c>
      <c r="B90" s="514"/>
      <c r="C90" s="514"/>
      <c r="D90" s="547"/>
      <c r="E90" s="547"/>
      <c r="F90" s="547"/>
      <c r="G90" s="547"/>
      <c r="H90" s="547"/>
      <c r="I90" s="547"/>
      <c r="J90" s="547"/>
      <c r="K90" s="547"/>
      <c r="L90" s="550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2"/>
      <c r="AG90" s="82"/>
      <c r="AH90" s="82"/>
      <c r="AI90" s="82"/>
      <c r="AJ90" s="82"/>
      <c r="AK90" s="82"/>
    </row>
    <row r="91" spans="1:37" s="2" customFormat="1" ht="12.75">
      <c r="A91" s="513" t="s">
        <v>194</v>
      </c>
      <c r="B91" s="514"/>
      <c r="C91" s="514"/>
      <c r="D91" s="547"/>
      <c r="E91" s="547"/>
      <c r="F91" s="547"/>
      <c r="G91" s="547"/>
      <c r="H91" s="547"/>
      <c r="I91" s="547"/>
      <c r="J91" s="547"/>
      <c r="K91" s="547"/>
      <c r="L91" s="550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2"/>
      <c r="AG91" s="82"/>
      <c r="AH91" s="82"/>
      <c r="AI91" s="82"/>
      <c r="AJ91" s="82"/>
      <c r="AK91" s="82"/>
    </row>
    <row r="92" spans="1:37" s="2" customFormat="1" ht="12.75">
      <c r="A92" s="513" t="s">
        <v>195</v>
      </c>
      <c r="B92" s="514"/>
      <c r="C92" s="514"/>
      <c r="D92" s="547"/>
      <c r="E92" s="547"/>
      <c r="F92" s="547"/>
      <c r="G92" s="547"/>
      <c r="H92" s="547"/>
      <c r="I92" s="547"/>
      <c r="J92" s="547"/>
      <c r="K92" s="547"/>
      <c r="L92" s="550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2"/>
      <c r="AG92" s="82"/>
      <c r="AH92" s="82"/>
      <c r="AI92" s="82"/>
      <c r="AJ92" s="82"/>
      <c r="AK92" s="82"/>
    </row>
    <row r="93" spans="1:37" s="2" customFormat="1" ht="12.75">
      <c r="A93" s="513" t="s">
        <v>196</v>
      </c>
      <c r="B93" s="514"/>
      <c r="C93" s="514"/>
      <c r="D93" s="547"/>
      <c r="E93" s="547"/>
      <c r="F93" s="547"/>
      <c r="G93" s="547"/>
      <c r="H93" s="547"/>
      <c r="I93" s="547"/>
      <c r="J93" s="547"/>
      <c r="K93" s="547"/>
      <c r="L93" s="550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2"/>
      <c r="AG93" s="82"/>
      <c r="AH93" s="82"/>
      <c r="AI93" s="82"/>
      <c r="AJ93" s="82"/>
      <c r="AK93" s="82"/>
    </row>
    <row r="94" spans="1:37" s="2" customFormat="1" ht="12.75">
      <c r="A94" s="513" t="s">
        <v>197</v>
      </c>
      <c r="B94" s="514"/>
      <c r="C94" s="514"/>
      <c r="D94" s="547"/>
      <c r="E94" s="547"/>
      <c r="F94" s="547"/>
      <c r="G94" s="547"/>
      <c r="H94" s="547"/>
      <c r="I94" s="547"/>
      <c r="J94" s="547"/>
      <c r="K94" s="547"/>
      <c r="L94" s="550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2"/>
      <c r="AG94" s="82"/>
      <c r="AH94" s="82"/>
      <c r="AI94" s="82"/>
      <c r="AJ94" s="82"/>
      <c r="AK94" s="82"/>
    </row>
    <row r="95" spans="1:37" s="2" customFormat="1" ht="12.75">
      <c r="A95" s="513" t="s">
        <v>198</v>
      </c>
      <c r="B95" s="514"/>
      <c r="C95" s="514"/>
      <c r="D95" s="547"/>
      <c r="E95" s="547"/>
      <c r="F95" s="547"/>
      <c r="G95" s="547"/>
      <c r="H95" s="547"/>
      <c r="I95" s="547"/>
      <c r="J95" s="547"/>
      <c r="K95" s="547"/>
      <c r="L95" s="550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2"/>
      <c r="AG95" s="82"/>
      <c r="AH95" s="82"/>
      <c r="AI95" s="82"/>
      <c r="AJ95" s="82"/>
      <c r="AK95" s="82"/>
    </row>
    <row r="96" spans="1:37" s="2" customFormat="1" ht="12.75">
      <c r="A96" s="513" t="s">
        <v>199</v>
      </c>
      <c r="B96" s="514"/>
      <c r="C96" s="514"/>
      <c r="D96" s="547"/>
      <c r="E96" s="547"/>
      <c r="F96" s="547"/>
      <c r="G96" s="547"/>
      <c r="H96" s="547"/>
      <c r="I96" s="547"/>
      <c r="J96" s="547"/>
      <c r="K96" s="547"/>
      <c r="L96" s="550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2"/>
      <c r="AG96" s="82"/>
      <c r="AH96" s="82"/>
      <c r="AI96" s="82"/>
      <c r="AJ96" s="82"/>
      <c r="AK96" s="82"/>
    </row>
    <row r="97" spans="1:37" s="2" customFormat="1" ht="12.75">
      <c r="A97" s="513" t="s">
        <v>200</v>
      </c>
      <c r="B97" s="514"/>
      <c r="C97" s="514"/>
      <c r="D97" s="547"/>
      <c r="E97" s="547"/>
      <c r="F97" s="547"/>
      <c r="G97" s="547"/>
      <c r="H97" s="547"/>
      <c r="I97" s="547"/>
      <c r="J97" s="547"/>
      <c r="K97" s="547"/>
      <c r="L97" s="550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2"/>
      <c r="AG97" s="82"/>
      <c r="AH97" s="82"/>
      <c r="AI97" s="82"/>
      <c r="AJ97" s="82"/>
      <c r="AK97" s="82"/>
    </row>
    <row r="98" spans="1:37" s="2" customFormat="1" ht="12.75">
      <c r="A98" s="513" t="s">
        <v>201</v>
      </c>
      <c r="B98" s="514"/>
      <c r="C98" s="514"/>
      <c r="D98" s="547"/>
      <c r="E98" s="547"/>
      <c r="F98" s="547"/>
      <c r="G98" s="547"/>
      <c r="H98" s="547"/>
      <c r="I98" s="547"/>
      <c r="J98" s="547"/>
      <c r="K98" s="547"/>
      <c r="L98" s="550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52"/>
      <c r="AG98" s="82"/>
      <c r="AH98" s="82"/>
      <c r="AI98" s="82"/>
      <c r="AJ98" s="82"/>
      <c r="AK98" s="82"/>
    </row>
    <row r="99" spans="1:37" s="2" customFormat="1" ht="13.5" thickBot="1">
      <c r="A99" s="548" t="s">
        <v>202</v>
      </c>
      <c r="B99" s="549"/>
      <c r="C99" s="549"/>
      <c r="D99" s="553"/>
      <c r="E99" s="553"/>
      <c r="F99" s="553"/>
      <c r="G99" s="553"/>
      <c r="H99" s="553"/>
      <c r="I99" s="553"/>
      <c r="J99" s="553"/>
      <c r="K99" s="553"/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  <c r="W99" s="578"/>
      <c r="X99" s="578"/>
      <c r="Y99" s="578"/>
      <c r="Z99" s="578"/>
      <c r="AA99" s="578"/>
      <c r="AB99" s="578"/>
      <c r="AC99" s="578"/>
      <c r="AD99" s="579"/>
      <c r="AG99" s="82"/>
      <c r="AH99" s="82"/>
      <c r="AI99" s="82"/>
      <c r="AJ99" s="82"/>
      <c r="AK99" s="82"/>
    </row>
    <row r="100" spans="1:37" s="2" customFormat="1" ht="12.75">
      <c r="A100" s="443" t="s">
        <v>204</v>
      </c>
      <c r="B100" s="444"/>
      <c r="C100" s="444"/>
      <c r="D100" s="444" t="s">
        <v>6</v>
      </c>
      <c r="E100" s="444"/>
      <c r="F100" s="444"/>
      <c r="G100" s="444"/>
      <c r="H100" s="444" t="s">
        <v>5</v>
      </c>
      <c r="I100" s="444"/>
      <c r="J100" s="444" t="s">
        <v>41</v>
      </c>
      <c r="K100" s="444"/>
      <c r="L100" s="444" t="s">
        <v>7</v>
      </c>
      <c r="M100" s="555"/>
      <c r="N100" s="409" t="s">
        <v>205</v>
      </c>
      <c r="O100" s="444"/>
      <c r="P100" s="444"/>
      <c r="Q100" s="444"/>
      <c r="R100" s="444"/>
      <c r="S100" s="444"/>
      <c r="T100" s="444" t="s">
        <v>192</v>
      </c>
      <c r="U100" s="444"/>
      <c r="V100" s="444"/>
      <c r="W100" s="444" t="s">
        <v>206</v>
      </c>
      <c r="X100" s="444"/>
      <c r="Y100" s="444"/>
      <c r="Z100" s="444"/>
      <c r="AA100" s="444"/>
      <c r="AB100" s="444"/>
      <c r="AC100" s="444"/>
      <c r="AD100" s="555"/>
      <c r="AG100" s="82"/>
      <c r="AH100" s="82"/>
      <c r="AI100" s="82"/>
      <c r="AJ100" s="82"/>
      <c r="AK100" s="82"/>
    </row>
    <row r="101" spans="1:37" s="2" customFormat="1" ht="12.75">
      <c r="A101" s="554"/>
      <c r="B101" s="547"/>
      <c r="C101" s="547"/>
      <c r="D101" s="448" t="str">
        <f>LOOKUP(A101,squad!$B$18:$B$58,squad!$D$18:$D$59)</f>
        <v> </v>
      </c>
      <c r="E101" s="448"/>
      <c r="F101" s="448"/>
      <c r="G101" s="448"/>
      <c r="H101" s="373">
        <f>LOOKUP(A101,squad!$B$18:$B$59,squad!$C$18:$C$59)</f>
        <v>0</v>
      </c>
      <c r="I101" s="373"/>
      <c r="J101" s="373" t="str">
        <f>LOOKUP(A101,squad!$B$18:$B$59,squad!$G$18:$G$59)</f>
        <v> </v>
      </c>
      <c r="K101" s="373"/>
      <c r="L101" s="373">
        <f>LOOKUP(A101,squad!$B$18:$B$59,squad!$S$18:$S$59)</f>
        <v>0</v>
      </c>
      <c r="M101" s="556"/>
      <c r="N101" s="557"/>
      <c r="O101" s="558"/>
      <c r="P101" s="558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558"/>
      <c r="AB101" s="558"/>
      <c r="AC101" s="558"/>
      <c r="AD101" s="560"/>
      <c r="AG101" s="82"/>
      <c r="AH101" s="82"/>
      <c r="AI101" s="82"/>
      <c r="AJ101" s="82"/>
      <c r="AK101" s="82"/>
    </row>
    <row r="102" spans="1:37" s="2" customFormat="1" ht="12.75">
      <c r="A102" s="554"/>
      <c r="B102" s="547"/>
      <c r="C102" s="547"/>
      <c r="D102" s="448" t="str">
        <f>LOOKUP(A102,squad!$B$18:$B$58,squad!$D$18:$D$59)</f>
        <v> </v>
      </c>
      <c r="E102" s="448"/>
      <c r="F102" s="448"/>
      <c r="G102" s="448"/>
      <c r="H102" s="373">
        <f>LOOKUP(A102,squad!$B$18:$B$59,squad!$C$18:$C$59)</f>
        <v>0</v>
      </c>
      <c r="I102" s="373"/>
      <c r="J102" s="373" t="str">
        <f>LOOKUP(A102,squad!$B$18:$B$59,squad!$G$18:$G$59)</f>
        <v> </v>
      </c>
      <c r="K102" s="373"/>
      <c r="L102" s="373">
        <f>LOOKUP(A102,squad!$B$18:$B$59,squad!$S$18:$S$59)</f>
        <v>0</v>
      </c>
      <c r="M102" s="556"/>
      <c r="N102" s="557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558"/>
      <c r="AB102" s="558"/>
      <c r="AC102" s="558"/>
      <c r="AD102" s="560"/>
      <c r="AG102" s="82"/>
      <c r="AH102" s="82"/>
      <c r="AI102" s="82"/>
      <c r="AJ102" s="82"/>
      <c r="AK102" s="82"/>
    </row>
    <row r="103" spans="1:37" s="2" customFormat="1" ht="12.75">
      <c r="A103" s="554"/>
      <c r="B103" s="547"/>
      <c r="C103" s="547"/>
      <c r="D103" s="448" t="str">
        <f>LOOKUP(A103,squad!$B$18:$B$58,squad!$D$18:$D$59)</f>
        <v> </v>
      </c>
      <c r="E103" s="448"/>
      <c r="F103" s="448"/>
      <c r="G103" s="448"/>
      <c r="H103" s="373">
        <f>LOOKUP(A103,squad!$B$18:$B$59,squad!$C$18:$C$59)</f>
        <v>0</v>
      </c>
      <c r="I103" s="373"/>
      <c r="J103" s="373" t="str">
        <f>LOOKUP(A103,squad!$B$18:$B$59,squad!$G$18:$G$59)</f>
        <v> </v>
      </c>
      <c r="K103" s="373"/>
      <c r="L103" s="373">
        <f>LOOKUP(A103,squad!$B$18:$B$59,squad!$S$18:$S$59)</f>
        <v>0</v>
      </c>
      <c r="M103" s="556"/>
      <c r="N103" s="557"/>
      <c r="O103" s="558"/>
      <c r="P103" s="558"/>
      <c r="Q103" s="558"/>
      <c r="R103" s="558"/>
      <c r="S103" s="558"/>
      <c r="T103" s="558"/>
      <c r="U103" s="558"/>
      <c r="V103" s="558"/>
      <c r="W103" s="558"/>
      <c r="X103" s="558"/>
      <c r="Y103" s="558"/>
      <c r="Z103" s="558"/>
      <c r="AA103" s="558"/>
      <c r="AB103" s="558"/>
      <c r="AC103" s="558"/>
      <c r="AD103" s="560"/>
      <c r="AG103" s="82"/>
      <c r="AH103" s="82"/>
      <c r="AI103" s="82"/>
      <c r="AJ103" s="82"/>
      <c r="AK103" s="82"/>
    </row>
    <row r="104" spans="1:37" s="2" customFormat="1" ht="12.75">
      <c r="A104" s="554"/>
      <c r="B104" s="547"/>
      <c r="C104" s="547"/>
      <c r="D104" s="448" t="str">
        <f>LOOKUP(A104,squad!$B$18:$B$58,squad!$D$18:$D$59)</f>
        <v> </v>
      </c>
      <c r="E104" s="448"/>
      <c r="F104" s="448"/>
      <c r="G104" s="448"/>
      <c r="H104" s="373">
        <f>LOOKUP(A104,squad!$B$18:$B$59,squad!$C$18:$C$59)</f>
        <v>0</v>
      </c>
      <c r="I104" s="373"/>
      <c r="J104" s="373" t="str">
        <f>LOOKUP(A104,squad!$B$18:$B$59,squad!$G$18:$G$59)</f>
        <v> </v>
      </c>
      <c r="K104" s="373"/>
      <c r="L104" s="373">
        <f>LOOKUP(A104,squad!$B$18:$B$59,squad!$S$18:$S$59)</f>
        <v>0</v>
      </c>
      <c r="M104" s="556"/>
      <c r="N104" s="557"/>
      <c r="O104" s="558"/>
      <c r="P104" s="558"/>
      <c r="Q104" s="558"/>
      <c r="R104" s="558"/>
      <c r="S104" s="558"/>
      <c r="T104" s="558"/>
      <c r="U104" s="558"/>
      <c r="V104" s="558"/>
      <c r="W104" s="558"/>
      <c r="X104" s="558"/>
      <c r="Y104" s="558"/>
      <c r="Z104" s="558"/>
      <c r="AA104" s="558"/>
      <c r="AB104" s="558"/>
      <c r="AC104" s="558"/>
      <c r="AD104" s="560"/>
      <c r="AG104" s="82"/>
      <c r="AH104" s="82"/>
      <c r="AI104" s="82"/>
      <c r="AJ104" s="82"/>
      <c r="AK104" s="82"/>
    </row>
    <row r="105" spans="1:37" s="2" customFormat="1" ht="12.75">
      <c r="A105" s="554"/>
      <c r="B105" s="547"/>
      <c r="C105" s="547"/>
      <c r="D105" s="448" t="str">
        <f>LOOKUP(A105,squad!$B$18:$B$58,squad!$D$18:$D$59)</f>
        <v> </v>
      </c>
      <c r="E105" s="448"/>
      <c r="F105" s="448"/>
      <c r="G105" s="448"/>
      <c r="H105" s="373">
        <f>LOOKUP(A105,squad!$B$18:$B$59,squad!$C$18:$C$59)</f>
        <v>0</v>
      </c>
      <c r="I105" s="373"/>
      <c r="J105" s="373" t="str">
        <f>LOOKUP(A105,squad!$B$18:$B$59,squad!$G$18:$G$59)</f>
        <v> </v>
      </c>
      <c r="K105" s="373"/>
      <c r="L105" s="373">
        <f>LOOKUP(A105,squad!$B$18:$B$59,squad!$S$18:$S$59)</f>
        <v>0</v>
      </c>
      <c r="M105" s="556"/>
      <c r="N105" s="557"/>
      <c r="O105" s="558"/>
      <c r="P105" s="558"/>
      <c r="Q105" s="558"/>
      <c r="R105" s="558"/>
      <c r="S105" s="558"/>
      <c r="T105" s="558"/>
      <c r="U105" s="558"/>
      <c r="V105" s="558"/>
      <c r="W105" s="558"/>
      <c r="X105" s="558"/>
      <c r="Y105" s="558"/>
      <c r="Z105" s="558"/>
      <c r="AA105" s="558"/>
      <c r="AB105" s="558"/>
      <c r="AC105" s="558"/>
      <c r="AD105" s="560"/>
      <c r="AG105" s="82"/>
      <c r="AH105" s="82"/>
      <c r="AI105" s="82"/>
      <c r="AJ105" s="82"/>
      <c r="AK105" s="82"/>
    </row>
    <row r="106" spans="1:37" s="2" customFormat="1" ht="13.5" thickBot="1">
      <c r="A106" s="577"/>
      <c r="B106" s="553"/>
      <c r="C106" s="553"/>
      <c r="D106" s="570" t="str">
        <f>LOOKUP(A106,squad!$B$18:$B$58,squad!$D$18:$D$59)</f>
        <v> </v>
      </c>
      <c r="E106" s="570"/>
      <c r="F106" s="570"/>
      <c r="G106" s="570"/>
      <c r="H106" s="467">
        <f>LOOKUP(A106,squad!$B$18:$B$59,squad!$C$18:$C$59)</f>
        <v>0</v>
      </c>
      <c r="I106" s="467"/>
      <c r="J106" s="467" t="str">
        <f>LOOKUP(A106,squad!$B$18:$B$59,squad!$G$18:$G$59)</f>
        <v> </v>
      </c>
      <c r="K106" s="467"/>
      <c r="L106" s="467">
        <f>LOOKUP(A106,squad!$B$18:$B$59,squad!$S$18:$S$59)</f>
        <v>0</v>
      </c>
      <c r="M106" s="575"/>
      <c r="N106" s="576"/>
      <c r="O106" s="559"/>
      <c r="P106" s="559"/>
      <c r="Q106" s="559"/>
      <c r="R106" s="559"/>
      <c r="S106" s="559"/>
      <c r="T106" s="559"/>
      <c r="U106" s="559"/>
      <c r="V106" s="559"/>
      <c r="W106" s="559"/>
      <c r="X106" s="559"/>
      <c r="Y106" s="559"/>
      <c r="Z106" s="559"/>
      <c r="AA106" s="559"/>
      <c r="AB106" s="559"/>
      <c r="AC106" s="559"/>
      <c r="AD106" s="574"/>
      <c r="AG106" s="82"/>
      <c r="AH106" s="82"/>
      <c r="AI106" s="82"/>
      <c r="AJ106" s="82"/>
      <c r="AK106" s="82"/>
    </row>
    <row r="107" spans="1:37" s="2" customFormat="1" ht="12.75">
      <c r="A107" s="571" t="s">
        <v>208</v>
      </c>
      <c r="B107" s="572"/>
      <c r="C107" s="572"/>
      <c r="D107" s="572"/>
      <c r="E107" s="572"/>
      <c r="F107" s="572"/>
      <c r="G107" s="572"/>
      <c r="H107" s="572"/>
      <c r="I107" s="572"/>
      <c r="J107" s="572"/>
      <c r="K107" s="572"/>
      <c r="L107" s="572"/>
      <c r="M107" s="572"/>
      <c r="N107" s="572"/>
      <c r="O107" s="572"/>
      <c r="P107" s="572"/>
      <c r="Q107" s="572"/>
      <c r="R107" s="572"/>
      <c r="S107" s="572"/>
      <c r="T107" s="572"/>
      <c r="U107" s="572"/>
      <c r="V107" s="572"/>
      <c r="W107" s="572"/>
      <c r="X107" s="572"/>
      <c r="Y107" s="572"/>
      <c r="Z107" s="572"/>
      <c r="AA107" s="572"/>
      <c r="AB107" s="572"/>
      <c r="AC107" s="572"/>
      <c r="AD107" s="573"/>
      <c r="AG107" s="82"/>
      <c r="AH107" s="82"/>
      <c r="AI107" s="82"/>
      <c r="AJ107" s="82"/>
      <c r="AK107" s="82"/>
    </row>
    <row r="108" spans="1:37" s="2" customFormat="1" ht="12.75">
      <c r="A108" s="561"/>
      <c r="B108" s="562"/>
      <c r="C108" s="562"/>
      <c r="D108" s="562"/>
      <c r="E108" s="562"/>
      <c r="F108" s="562"/>
      <c r="G108" s="562"/>
      <c r="H108" s="562"/>
      <c r="I108" s="562"/>
      <c r="J108" s="562"/>
      <c r="K108" s="562"/>
      <c r="L108" s="562"/>
      <c r="M108" s="562"/>
      <c r="N108" s="562"/>
      <c r="O108" s="562"/>
      <c r="P108" s="562"/>
      <c r="Q108" s="562"/>
      <c r="R108" s="562"/>
      <c r="S108" s="562"/>
      <c r="T108" s="562"/>
      <c r="U108" s="562"/>
      <c r="V108" s="562"/>
      <c r="W108" s="562"/>
      <c r="X108" s="562"/>
      <c r="Y108" s="562"/>
      <c r="Z108" s="562"/>
      <c r="AA108" s="562"/>
      <c r="AB108" s="562"/>
      <c r="AC108" s="562"/>
      <c r="AD108" s="563"/>
      <c r="AG108" s="82"/>
      <c r="AH108" s="82"/>
      <c r="AI108" s="82"/>
      <c r="AJ108" s="82"/>
      <c r="AK108" s="82"/>
    </row>
    <row r="109" spans="1:37" s="2" customFormat="1" ht="12.75">
      <c r="A109" s="564"/>
      <c r="B109" s="565"/>
      <c r="C109" s="565"/>
      <c r="D109" s="565"/>
      <c r="E109" s="565"/>
      <c r="F109" s="565"/>
      <c r="G109" s="565"/>
      <c r="H109" s="565"/>
      <c r="I109" s="565"/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5"/>
      <c r="W109" s="565"/>
      <c r="X109" s="565"/>
      <c r="Y109" s="565"/>
      <c r="Z109" s="565"/>
      <c r="AA109" s="565"/>
      <c r="AB109" s="565"/>
      <c r="AC109" s="565"/>
      <c r="AD109" s="566"/>
      <c r="AG109" s="82"/>
      <c r="AH109" s="82"/>
      <c r="AI109" s="82"/>
      <c r="AJ109" s="82"/>
      <c r="AK109" s="82"/>
    </row>
    <row r="110" spans="1:37" s="2" customFormat="1" ht="12.75">
      <c r="A110" s="564"/>
      <c r="B110" s="565"/>
      <c r="C110" s="565"/>
      <c r="D110" s="565"/>
      <c r="E110" s="565"/>
      <c r="F110" s="565"/>
      <c r="G110" s="565"/>
      <c r="H110" s="565"/>
      <c r="I110" s="565"/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5"/>
      <c r="W110" s="565"/>
      <c r="X110" s="565"/>
      <c r="Y110" s="565"/>
      <c r="Z110" s="565"/>
      <c r="AA110" s="565"/>
      <c r="AB110" s="565"/>
      <c r="AC110" s="565"/>
      <c r="AD110" s="566"/>
      <c r="AG110" s="82"/>
      <c r="AH110" s="82"/>
      <c r="AI110" s="82"/>
      <c r="AJ110" s="82"/>
      <c r="AK110" s="82"/>
    </row>
    <row r="111" spans="1:37" s="2" customFormat="1" ht="12.75">
      <c r="A111" s="567"/>
      <c r="B111" s="568"/>
      <c r="C111" s="568"/>
      <c r="D111" s="568"/>
      <c r="E111" s="568"/>
      <c r="F111" s="568"/>
      <c r="G111" s="568"/>
      <c r="H111" s="568"/>
      <c r="I111" s="568"/>
      <c r="J111" s="568"/>
      <c r="K111" s="568"/>
      <c r="L111" s="568"/>
      <c r="M111" s="568"/>
      <c r="N111" s="568"/>
      <c r="O111" s="568"/>
      <c r="P111" s="568"/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/>
      <c r="AD111" s="569"/>
      <c r="AG111" s="82"/>
      <c r="AH111" s="82"/>
      <c r="AI111" s="82"/>
      <c r="AJ111" s="82"/>
      <c r="AK111" s="82"/>
    </row>
    <row r="112" spans="1:37" s="2" customFormat="1" ht="12.75">
      <c r="A112" s="561"/>
      <c r="B112" s="562"/>
      <c r="C112" s="562"/>
      <c r="D112" s="562"/>
      <c r="E112" s="562"/>
      <c r="F112" s="562"/>
      <c r="G112" s="562"/>
      <c r="H112" s="562"/>
      <c r="I112" s="562"/>
      <c r="J112" s="562"/>
      <c r="K112" s="562"/>
      <c r="L112" s="562"/>
      <c r="M112" s="562"/>
      <c r="N112" s="562"/>
      <c r="O112" s="562"/>
      <c r="P112" s="562"/>
      <c r="Q112" s="562"/>
      <c r="R112" s="562"/>
      <c r="S112" s="562"/>
      <c r="T112" s="562"/>
      <c r="U112" s="562"/>
      <c r="V112" s="562"/>
      <c r="W112" s="562"/>
      <c r="X112" s="562"/>
      <c r="Y112" s="562"/>
      <c r="Z112" s="562"/>
      <c r="AA112" s="562"/>
      <c r="AB112" s="562"/>
      <c r="AC112" s="562"/>
      <c r="AD112" s="563"/>
      <c r="AG112" s="82"/>
      <c r="AH112" s="82"/>
      <c r="AI112" s="82"/>
      <c r="AJ112" s="82"/>
      <c r="AK112" s="82"/>
    </row>
    <row r="113" spans="1:37" s="2" customFormat="1" ht="12.75">
      <c r="A113" s="564"/>
      <c r="B113" s="565"/>
      <c r="C113" s="565"/>
      <c r="D113" s="565"/>
      <c r="E113" s="565"/>
      <c r="F113" s="565"/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5"/>
      <c r="V113" s="565"/>
      <c r="W113" s="565"/>
      <c r="X113" s="565"/>
      <c r="Y113" s="565"/>
      <c r="Z113" s="565"/>
      <c r="AA113" s="565"/>
      <c r="AB113" s="565"/>
      <c r="AC113" s="565"/>
      <c r="AD113" s="566"/>
      <c r="AG113" s="82"/>
      <c r="AH113" s="82"/>
      <c r="AI113" s="82"/>
      <c r="AJ113" s="82"/>
      <c r="AK113" s="82"/>
    </row>
    <row r="114" spans="1:37" s="2" customFormat="1" ht="12.75">
      <c r="A114" s="564"/>
      <c r="B114" s="565"/>
      <c r="C114" s="565"/>
      <c r="D114" s="565"/>
      <c r="E114" s="565"/>
      <c r="F114" s="565"/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  <c r="Q114" s="565"/>
      <c r="R114" s="565"/>
      <c r="S114" s="565"/>
      <c r="T114" s="565"/>
      <c r="U114" s="565"/>
      <c r="V114" s="565"/>
      <c r="W114" s="565"/>
      <c r="X114" s="565"/>
      <c r="Y114" s="565"/>
      <c r="Z114" s="565"/>
      <c r="AA114" s="565"/>
      <c r="AB114" s="565"/>
      <c r="AC114" s="565"/>
      <c r="AD114" s="566"/>
      <c r="AG114" s="82"/>
      <c r="AH114" s="82"/>
      <c r="AI114" s="82"/>
      <c r="AJ114" s="82"/>
      <c r="AK114" s="82"/>
    </row>
    <row r="115" spans="1:37" s="2" customFormat="1" ht="12.75">
      <c r="A115" s="567"/>
      <c r="B115" s="568"/>
      <c r="C115" s="568"/>
      <c r="D115" s="568"/>
      <c r="E115" s="568"/>
      <c r="F115" s="568"/>
      <c r="G115" s="568"/>
      <c r="H115" s="568"/>
      <c r="I115" s="568"/>
      <c r="J115" s="568"/>
      <c r="K115" s="568"/>
      <c r="L115" s="568"/>
      <c r="M115" s="568"/>
      <c r="N115" s="568"/>
      <c r="O115" s="568"/>
      <c r="P115" s="568"/>
      <c r="Q115" s="568"/>
      <c r="R115" s="568"/>
      <c r="S115" s="568"/>
      <c r="T115" s="568"/>
      <c r="U115" s="568"/>
      <c r="V115" s="568"/>
      <c r="W115" s="568"/>
      <c r="X115" s="568"/>
      <c r="Y115" s="568"/>
      <c r="Z115" s="568"/>
      <c r="AA115" s="568"/>
      <c r="AB115" s="568"/>
      <c r="AC115" s="568"/>
      <c r="AD115" s="569"/>
      <c r="AG115" s="82"/>
      <c r="AH115" s="82"/>
      <c r="AI115" s="82"/>
      <c r="AJ115" s="82"/>
      <c r="AK115" s="82"/>
    </row>
    <row r="116" spans="1:37" s="2" customFormat="1" ht="12.75">
      <c r="A116" s="561"/>
      <c r="B116" s="562"/>
      <c r="C116" s="562"/>
      <c r="D116" s="562"/>
      <c r="E116" s="562"/>
      <c r="F116" s="562"/>
      <c r="G116" s="562"/>
      <c r="H116" s="562"/>
      <c r="I116" s="562"/>
      <c r="J116" s="562"/>
      <c r="K116" s="562"/>
      <c r="L116" s="562"/>
      <c r="M116" s="562"/>
      <c r="N116" s="562"/>
      <c r="O116" s="562"/>
      <c r="P116" s="562"/>
      <c r="Q116" s="562"/>
      <c r="R116" s="562"/>
      <c r="S116" s="562"/>
      <c r="T116" s="562"/>
      <c r="U116" s="562"/>
      <c r="V116" s="562"/>
      <c r="W116" s="562"/>
      <c r="X116" s="562"/>
      <c r="Y116" s="562"/>
      <c r="Z116" s="562"/>
      <c r="AA116" s="562"/>
      <c r="AB116" s="562"/>
      <c r="AC116" s="562"/>
      <c r="AD116" s="563"/>
      <c r="AG116" s="82"/>
      <c r="AH116" s="82"/>
      <c r="AI116" s="82"/>
      <c r="AJ116" s="82"/>
      <c r="AK116" s="82"/>
    </row>
    <row r="117" spans="1:37" s="2" customFormat="1" ht="12.75">
      <c r="A117" s="564"/>
      <c r="B117" s="565"/>
      <c r="C117" s="565"/>
      <c r="D117" s="565"/>
      <c r="E117" s="565"/>
      <c r="F117" s="565"/>
      <c r="G117" s="565"/>
      <c r="H117" s="565"/>
      <c r="I117" s="565"/>
      <c r="J117" s="565"/>
      <c r="K117" s="565"/>
      <c r="L117" s="565"/>
      <c r="M117" s="565"/>
      <c r="N117" s="565"/>
      <c r="O117" s="565"/>
      <c r="P117" s="565"/>
      <c r="Q117" s="565"/>
      <c r="R117" s="565"/>
      <c r="S117" s="565"/>
      <c r="T117" s="565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6"/>
      <c r="AG117" s="82"/>
      <c r="AH117" s="82"/>
      <c r="AI117" s="82"/>
      <c r="AJ117" s="82"/>
      <c r="AK117" s="82"/>
    </row>
    <row r="118" spans="1:37" s="2" customFormat="1" ht="12.75">
      <c r="A118" s="564"/>
      <c r="B118" s="565"/>
      <c r="C118" s="565"/>
      <c r="D118" s="565"/>
      <c r="E118" s="565"/>
      <c r="F118" s="565"/>
      <c r="G118" s="565"/>
      <c r="H118" s="565"/>
      <c r="I118" s="565"/>
      <c r="J118" s="565"/>
      <c r="K118" s="565"/>
      <c r="L118" s="565"/>
      <c r="M118" s="565"/>
      <c r="N118" s="565"/>
      <c r="O118" s="565"/>
      <c r="P118" s="565"/>
      <c r="Q118" s="565"/>
      <c r="R118" s="565"/>
      <c r="S118" s="565"/>
      <c r="T118" s="565"/>
      <c r="U118" s="565"/>
      <c r="V118" s="565"/>
      <c r="W118" s="565"/>
      <c r="X118" s="565"/>
      <c r="Y118" s="565"/>
      <c r="Z118" s="565"/>
      <c r="AA118" s="565"/>
      <c r="AB118" s="565"/>
      <c r="AC118" s="565"/>
      <c r="AD118" s="566"/>
      <c r="AG118" s="82"/>
      <c r="AH118" s="82"/>
      <c r="AI118" s="82"/>
      <c r="AJ118" s="82"/>
      <c r="AK118" s="82"/>
    </row>
    <row r="119" spans="1:37" s="2" customFormat="1" ht="12.75">
      <c r="A119" s="567"/>
      <c r="B119" s="568"/>
      <c r="C119" s="568"/>
      <c r="D119" s="568"/>
      <c r="E119" s="568"/>
      <c r="F119" s="568"/>
      <c r="G119" s="568"/>
      <c r="H119" s="568"/>
      <c r="I119" s="568"/>
      <c r="J119" s="568"/>
      <c r="K119" s="568"/>
      <c r="L119" s="568"/>
      <c r="M119" s="568"/>
      <c r="N119" s="568"/>
      <c r="O119" s="568"/>
      <c r="P119" s="568"/>
      <c r="Q119" s="568"/>
      <c r="R119" s="568"/>
      <c r="S119" s="568"/>
      <c r="T119" s="568"/>
      <c r="U119" s="568"/>
      <c r="V119" s="568"/>
      <c r="W119" s="568"/>
      <c r="X119" s="568"/>
      <c r="Y119" s="568"/>
      <c r="Z119" s="568"/>
      <c r="AA119" s="568"/>
      <c r="AB119" s="568"/>
      <c r="AC119" s="568"/>
      <c r="AD119" s="569"/>
      <c r="AG119" s="82"/>
      <c r="AH119" s="82"/>
      <c r="AI119" s="82"/>
      <c r="AJ119" s="82"/>
      <c r="AK119" s="82"/>
    </row>
    <row r="120" spans="1:37" s="2" customFormat="1" ht="12.75">
      <c r="A120" s="561"/>
      <c r="B120" s="562"/>
      <c r="C120" s="562"/>
      <c r="D120" s="562"/>
      <c r="E120" s="562"/>
      <c r="F120" s="562"/>
      <c r="G120" s="562"/>
      <c r="H120" s="562"/>
      <c r="I120" s="562"/>
      <c r="J120" s="562"/>
      <c r="K120" s="562"/>
      <c r="L120" s="562"/>
      <c r="M120" s="562"/>
      <c r="N120" s="562"/>
      <c r="O120" s="562"/>
      <c r="P120" s="562"/>
      <c r="Q120" s="562"/>
      <c r="R120" s="562"/>
      <c r="S120" s="562"/>
      <c r="T120" s="562"/>
      <c r="U120" s="562"/>
      <c r="V120" s="562"/>
      <c r="W120" s="562"/>
      <c r="X120" s="562"/>
      <c r="Y120" s="562"/>
      <c r="Z120" s="562"/>
      <c r="AA120" s="562"/>
      <c r="AB120" s="562"/>
      <c r="AC120" s="562"/>
      <c r="AD120" s="563"/>
      <c r="AG120" s="82"/>
      <c r="AH120" s="82"/>
      <c r="AI120" s="82"/>
      <c r="AJ120" s="82"/>
      <c r="AK120" s="82"/>
    </row>
    <row r="121" spans="1:37" s="2" customFormat="1" ht="12.75">
      <c r="A121" s="564"/>
      <c r="B121" s="565"/>
      <c r="C121" s="565"/>
      <c r="D121" s="565"/>
      <c r="E121" s="565"/>
      <c r="F121" s="565"/>
      <c r="G121" s="565"/>
      <c r="H121" s="565"/>
      <c r="I121" s="565"/>
      <c r="J121" s="565"/>
      <c r="K121" s="565"/>
      <c r="L121" s="565"/>
      <c r="M121" s="565"/>
      <c r="N121" s="565"/>
      <c r="O121" s="565"/>
      <c r="P121" s="565"/>
      <c r="Q121" s="56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5"/>
      <c r="AD121" s="566"/>
      <c r="AG121" s="82"/>
      <c r="AH121" s="82"/>
      <c r="AI121" s="82"/>
      <c r="AJ121" s="82"/>
      <c r="AK121" s="82"/>
    </row>
    <row r="122" spans="1:37" s="2" customFormat="1" ht="12.75">
      <c r="A122" s="564"/>
      <c r="B122" s="565"/>
      <c r="C122" s="565"/>
      <c r="D122" s="565"/>
      <c r="E122" s="565"/>
      <c r="F122" s="565"/>
      <c r="G122" s="565"/>
      <c r="H122" s="565"/>
      <c r="I122" s="565"/>
      <c r="J122" s="565"/>
      <c r="K122" s="565"/>
      <c r="L122" s="565"/>
      <c r="M122" s="565"/>
      <c r="N122" s="565"/>
      <c r="O122" s="565"/>
      <c r="P122" s="565"/>
      <c r="Q122" s="565"/>
      <c r="R122" s="565"/>
      <c r="S122" s="565"/>
      <c r="T122" s="565"/>
      <c r="U122" s="565"/>
      <c r="V122" s="565"/>
      <c r="W122" s="565"/>
      <c r="X122" s="565"/>
      <c r="Y122" s="565"/>
      <c r="Z122" s="565"/>
      <c r="AA122" s="565"/>
      <c r="AB122" s="565"/>
      <c r="AC122" s="565"/>
      <c r="AD122" s="566"/>
      <c r="AG122" s="82"/>
      <c r="AH122" s="82"/>
      <c r="AI122" s="82"/>
      <c r="AJ122" s="82"/>
      <c r="AK122" s="82"/>
    </row>
    <row r="123" spans="1:37" s="2" customFormat="1" ht="12.75">
      <c r="A123" s="567"/>
      <c r="B123" s="568"/>
      <c r="C123" s="568"/>
      <c r="D123" s="568"/>
      <c r="E123" s="568"/>
      <c r="F123" s="568"/>
      <c r="G123" s="568"/>
      <c r="H123" s="568"/>
      <c r="I123" s="568"/>
      <c r="J123" s="568"/>
      <c r="K123" s="568"/>
      <c r="L123" s="568"/>
      <c r="M123" s="568"/>
      <c r="N123" s="568"/>
      <c r="O123" s="568"/>
      <c r="P123" s="568"/>
      <c r="Q123" s="568"/>
      <c r="R123" s="568"/>
      <c r="S123" s="568"/>
      <c r="T123" s="568"/>
      <c r="U123" s="568"/>
      <c r="V123" s="568"/>
      <c r="W123" s="568"/>
      <c r="X123" s="568"/>
      <c r="Y123" s="568"/>
      <c r="Z123" s="568"/>
      <c r="AA123" s="568"/>
      <c r="AB123" s="568"/>
      <c r="AC123" s="568"/>
      <c r="AD123" s="569"/>
      <c r="AG123" s="82"/>
      <c r="AH123" s="82"/>
      <c r="AI123" s="82"/>
      <c r="AJ123" s="82"/>
      <c r="AK123" s="82"/>
    </row>
    <row r="124" spans="1:65" ht="13.5" thickBot="1">
      <c r="A124" s="158"/>
      <c r="B124" s="6"/>
      <c r="C124" s="6"/>
      <c r="D124" s="6"/>
      <c r="E124" s="6"/>
      <c r="F124" s="6"/>
      <c r="G124" s="440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2"/>
      <c r="Y124" s="410" t="s">
        <v>33</v>
      </c>
      <c r="Z124" s="411"/>
      <c r="AA124" s="411"/>
      <c r="AB124" s="411"/>
      <c r="AC124" s="411"/>
      <c r="AD124" s="427"/>
      <c r="AE124" s="3"/>
      <c r="AF124" s="3"/>
      <c r="AG124" s="80"/>
      <c r="AH124" s="80"/>
      <c r="AI124" s="80"/>
      <c r="AJ124" s="80"/>
      <c r="AK124" s="80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12.75">
      <c r="A125" s="159"/>
      <c r="B125" s="7"/>
      <c r="C125" s="7"/>
      <c r="D125" s="7"/>
      <c r="E125" s="7"/>
      <c r="F125" s="7"/>
      <c r="G125" s="410" t="s">
        <v>31</v>
      </c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2"/>
      <c r="Y125" s="416" t="s">
        <v>34</v>
      </c>
      <c r="Z125" s="417"/>
      <c r="AA125" s="418"/>
      <c r="AB125" s="419"/>
      <c r="AC125" s="419"/>
      <c r="AD125" s="420"/>
      <c r="AE125" s="3"/>
      <c r="AF125" s="3"/>
      <c r="AG125" s="80"/>
      <c r="AH125" s="80"/>
      <c r="AI125" s="80"/>
      <c r="AJ125" s="80"/>
      <c r="AK125" s="80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12.75">
      <c r="A126" s="159"/>
      <c r="B126" s="7"/>
      <c r="C126" s="7"/>
      <c r="D126" s="7"/>
      <c r="E126" s="7"/>
      <c r="F126" s="7"/>
      <c r="G126" s="410" t="s">
        <v>32</v>
      </c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411"/>
      <c r="W126" s="411"/>
      <c r="X126" s="412"/>
      <c r="Y126" s="416"/>
      <c r="Z126" s="417"/>
      <c r="AA126" s="421"/>
      <c r="AB126" s="422"/>
      <c r="AC126" s="422"/>
      <c r="AD126" s="423"/>
      <c r="AE126" s="3"/>
      <c r="AF126" s="3"/>
      <c r="AG126" s="80"/>
      <c r="AH126" s="80"/>
      <c r="AI126" s="80"/>
      <c r="AJ126" s="80"/>
      <c r="AK126" s="80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13.5" thickBot="1">
      <c r="A127" s="159"/>
      <c r="B127" s="7"/>
      <c r="C127" s="7"/>
      <c r="D127" s="7"/>
      <c r="E127" s="7"/>
      <c r="F127" s="7"/>
      <c r="G127" s="410" t="s">
        <v>37</v>
      </c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411"/>
      <c r="W127" s="411"/>
      <c r="X127" s="412"/>
      <c r="Y127" s="416"/>
      <c r="Z127" s="417"/>
      <c r="AA127" s="424"/>
      <c r="AB127" s="425"/>
      <c r="AC127" s="425"/>
      <c r="AD127" s="426"/>
      <c r="AE127" s="3"/>
      <c r="AF127" s="3"/>
      <c r="AG127" s="80"/>
      <c r="AH127" s="80"/>
      <c r="AI127" s="80"/>
      <c r="AJ127" s="80"/>
      <c r="AK127" s="80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ht="12.75">
      <c r="A128" s="159"/>
      <c r="B128" s="7"/>
      <c r="C128" s="7"/>
      <c r="D128" s="7"/>
      <c r="E128" s="7"/>
      <c r="F128" s="7"/>
      <c r="G128" s="410" t="s">
        <v>397</v>
      </c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2"/>
      <c r="Y128" s="436"/>
      <c r="Z128" s="437"/>
      <c r="AA128" s="437"/>
      <c r="AB128" s="437"/>
      <c r="AC128" s="437"/>
      <c r="AD128" s="438"/>
      <c r="AE128" s="3"/>
      <c r="AF128" s="3"/>
      <c r="AG128" s="80"/>
      <c r="AH128" s="80"/>
      <c r="AI128" s="80"/>
      <c r="AJ128" s="80"/>
      <c r="AK128" s="80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13.5" thickBot="1">
      <c r="A129" s="160"/>
      <c r="B129" s="161"/>
      <c r="C129" s="161"/>
      <c r="D129" s="161"/>
      <c r="E129" s="161"/>
      <c r="F129" s="161"/>
      <c r="G129" s="413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5"/>
      <c r="Y129" s="413"/>
      <c r="Z129" s="414"/>
      <c r="AA129" s="414"/>
      <c r="AB129" s="414"/>
      <c r="AC129" s="414"/>
      <c r="AD129" s="439"/>
      <c r="AE129" s="3"/>
      <c r="AF129" s="3"/>
      <c r="AG129" s="80"/>
      <c r="AH129" s="80"/>
      <c r="AI129" s="80"/>
      <c r="AJ129" s="80"/>
      <c r="AK129" s="80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31:65" ht="12.75">
      <c r="AE130" s="3"/>
      <c r="AF130" s="3"/>
      <c r="AG130" s="80"/>
      <c r="AH130" s="80"/>
      <c r="AI130" s="80"/>
      <c r="AJ130" s="80"/>
      <c r="AK130" s="80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30" ht="12.75" hidden="1">
      <c r="A131" s="380" t="s">
        <v>76</v>
      </c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3.5" hidden="1" thickBot="1"/>
    <row r="149" spans="1:30" ht="12.75" hidden="1">
      <c r="A149" s="145"/>
      <c r="B149" s="146" t="s">
        <v>10</v>
      </c>
      <c r="C149" s="146" t="s">
        <v>11</v>
      </c>
      <c r="D149" s="146"/>
      <c r="E149" s="146"/>
      <c r="F149" s="147"/>
      <c r="G149" s="145"/>
      <c r="H149" s="146" t="s">
        <v>10</v>
      </c>
      <c r="I149" s="146" t="s">
        <v>11</v>
      </c>
      <c r="J149" s="146"/>
      <c r="K149" s="146"/>
      <c r="L149" s="147"/>
      <c r="M149" s="145"/>
      <c r="N149" s="146" t="s">
        <v>10</v>
      </c>
      <c r="O149" s="146" t="s">
        <v>11</v>
      </c>
      <c r="P149" s="146"/>
      <c r="Q149" s="146"/>
      <c r="R149" s="147"/>
      <c r="S149" s="145"/>
      <c r="T149" s="146" t="s">
        <v>10</v>
      </c>
      <c r="U149" s="146" t="s">
        <v>11</v>
      </c>
      <c r="V149" s="146"/>
      <c r="W149" s="146"/>
      <c r="X149" s="147"/>
      <c r="Y149" s="146"/>
      <c r="Z149" s="146" t="s">
        <v>10</v>
      </c>
      <c r="AA149" s="146" t="s">
        <v>11</v>
      </c>
      <c r="AB149" s="146"/>
      <c r="AC149" s="146"/>
      <c r="AD149" s="147"/>
    </row>
    <row r="150" spans="1:30" ht="12.75" hidden="1">
      <c r="A150" s="148" t="s">
        <v>157</v>
      </c>
      <c r="B150" s="149">
        <f>B40+B41</f>
        <v>0</v>
      </c>
      <c r="C150" s="149">
        <f>C40+C41</f>
        <v>0</v>
      </c>
      <c r="D150" s="149"/>
      <c r="E150" s="149"/>
      <c r="F150" s="150" t="s">
        <v>157</v>
      </c>
      <c r="G150" s="148"/>
      <c r="H150" s="149">
        <f>H40+H41</f>
        <v>0</v>
      </c>
      <c r="I150" s="149">
        <f>I40+I41</f>
        <v>0</v>
      </c>
      <c r="J150" s="149"/>
      <c r="K150" s="149"/>
      <c r="L150" s="150" t="s">
        <v>157</v>
      </c>
      <c r="M150" s="148"/>
      <c r="N150" s="149">
        <f>N40+N41</f>
        <v>0</v>
      </c>
      <c r="O150" s="149">
        <f>O40+O41</f>
        <v>0</v>
      </c>
      <c r="P150" s="149"/>
      <c r="Q150" s="149"/>
      <c r="R150" s="150" t="s">
        <v>157</v>
      </c>
      <c r="S150" s="148"/>
      <c r="T150" s="149">
        <f>T40+T41</f>
        <v>0</v>
      </c>
      <c r="U150" s="149">
        <f>U40+U41</f>
        <v>0</v>
      </c>
      <c r="V150" s="149"/>
      <c r="W150" s="149"/>
      <c r="X150" s="150" t="s">
        <v>157</v>
      </c>
      <c r="Y150" s="149"/>
      <c r="Z150" s="149">
        <f>Z40+Z41</f>
        <v>0</v>
      </c>
      <c r="AA150" s="149">
        <f>AA40+AA41</f>
        <v>0</v>
      </c>
      <c r="AB150" s="149"/>
      <c r="AC150" s="149"/>
      <c r="AD150" s="150"/>
    </row>
    <row r="151" spans="1:30" ht="12.75" hidden="1">
      <c r="A151" s="148" t="s">
        <v>35</v>
      </c>
      <c r="B151" s="149">
        <f>B44/2</f>
        <v>0</v>
      </c>
      <c r="C151" s="149">
        <f>C44/2</f>
        <v>0</v>
      </c>
      <c r="D151" s="149"/>
      <c r="E151" s="149"/>
      <c r="F151" s="150"/>
      <c r="G151" s="148" t="s">
        <v>35</v>
      </c>
      <c r="H151" s="149">
        <f>H44/2</f>
        <v>0</v>
      </c>
      <c r="I151" s="149">
        <f>I44/2</f>
        <v>0</v>
      </c>
      <c r="J151" s="149"/>
      <c r="K151" s="149"/>
      <c r="L151" s="150"/>
      <c r="M151" s="148" t="s">
        <v>35</v>
      </c>
      <c r="N151" s="149">
        <f>N44/2</f>
        <v>0</v>
      </c>
      <c r="O151" s="149">
        <f>O44/2</f>
        <v>0</v>
      </c>
      <c r="P151" s="149"/>
      <c r="Q151" s="149"/>
      <c r="R151" s="150"/>
      <c r="S151" s="148" t="s">
        <v>35</v>
      </c>
      <c r="T151" s="149">
        <f>T44/2</f>
        <v>0</v>
      </c>
      <c r="U151" s="149">
        <f>U44/2</f>
        <v>0</v>
      </c>
      <c r="V151" s="149"/>
      <c r="W151" s="149"/>
      <c r="X151" s="150"/>
      <c r="Y151" s="149" t="s">
        <v>35</v>
      </c>
      <c r="Z151" s="149">
        <f>Z44/2</f>
        <v>0</v>
      </c>
      <c r="AA151" s="149">
        <f>AA44/2</f>
        <v>0</v>
      </c>
      <c r="AB151" s="149"/>
      <c r="AC151" s="149"/>
      <c r="AD151" s="150"/>
    </row>
    <row r="152" spans="1:30" ht="12.75" hidden="1">
      <c r="A152" s="148"/>
      <c r="B152" s="149">
        <f>IF(B150+B151&lt;11,B151,0)</f>
        <v>0</v>
      </c>
      <c r="C152" s="149">
        <f>IF(C150+C151&lt;11,C151,0)</f>
        <v>0</v>
      </c>
      <c r="D152" s="149"/>
      <c r="E152" s="149"/>
      <c r="F152" s="150"/>
      <c r="G152" s="148"/>
      <c r="H152" s="149">
        <f>IF(H150+H151&lt;11,H151,0)</f>
        <v>0</v>
      </c>
      <c r="I152" s="149">
        <f>IF(I150+I151&lt;11,I151,0)</f>
        <v>0</v>
      </c>
      <c r="J152" s="149"/>
      <c r="K152" s="149"/>
      <c r="L152" s="150"/>
      <c r="M152" s="148"/>
      <c r="N152" s="149">
        <f>IF(N150+N151&lt;11,N151,0)</f>
        <v>0</v>
      </c>
      <c r="O152" s="149">
        <f>IF(O150+O151&lt;11,O151,0)</f>
        <v>0</v>
      </c>
      <c r="P152" s="149"/>
      <c r="Q152" s="149"/>
      <c r="R152" s="150"/>
      <c r="S152" s="148"/>
      <c r="T152" s="149">
        <f>IF(T150+T151&lt;11,T151,0)</f>
        <v>0</v>
      </c>
      <c r="U152" s="149">
        <f>IF(U150+U151&lt;11,U151,0)</f>
        <v>0</v>
      </c>
      <c r="V152" s="149"/>
      <c r="W152" s="149"/>
      <c r="X152" s="150"/>
      <c r="Y152" s="149"/>
      <c r="Z152" s="149">
        <f>IF(Z150+Z151&lt;11,Z151,0)</f>
        <v>0</v>
      </c>
      <c r="AA152" s="149">
        <f>IF(AA150+AA151&lt;11,AA151,0)</f>
        <v>0</v>
      </c>
      <c r="AB152" s="149"/>
      <c r="AC152" s="149"/>
      <c r="AD152" s="150"/>
    </row>
    <row r="153" spans="1:30" ht="12.75" hidden="1">
      <c r="A153" s="148"/>
      <c r="B153" s="149">
        <f>IF(B150+B151&lt;11,0,IF(B150&gt;10,0,10-B150))</f>
        <v>0</v>
      </c>
      <c r="C153" s="149">
        <f>IF(C150+C151&lt;11,0,IF(C150&gt;10,0,10-C150))</f>
        <v>0</v>
      </c>
      <c r="D153" s="149"/>
      <c r="E153" s="149"/>
      <c r="F153" s="150"/>
      <c r="G153" s="148"/>
      <c r="H153" s="149">
        <f>IF(H150+H151&lt;11,0,IF(H150&gt;10,0,10-H150))</f>
        <v>0</v>
      </c>
      <c r="I153" s="149">
        <f>IF(I150+I151&lt;11,0,IF(I150&gt;10,0,10-I150))</f>
        <v>0</v>
      </c>
      <c r="J153" s="149"/>
      <c r="K153" s="149"/>
      <c r="L153" s="150"/>
      <c r="M153" s="148"/>
      <c r="N153" s="149">
        <f>IF(N150+N151&lt;11,0,IF(N150&gt;10,0,10-N150))</f>
        <v>0</v>
      </c>
      <c r="O153" s="149">
        <f>IF(O150+O151&lt;11,0,IF(O150&gt;10,0,10-O150))</f>
        <v>0</v>
      </c>
      <c r="P153" s="149"/>
      <c r="Q153" s="149"/>
      <c r="R153" s="150"/>
      <c r="S153" s="148"/>
      <c r="T153" s="149">
        <f>IF(T150+T151&lt;11,0,IF(T150&gt;10,0,10-T150))</f>
        <v>0</v>
      </c>
      <c r="U153" s="149">
        <f>IF(U150+U151&lt;11,0,IF(U150&gt;10,0,10-U150))</f>
        <v>0</v>
      </c>
      <c r="V153" s="149"/>
      <c r="W153" s="149"/>
      <c r="X153" s="150"/>
      <c r="Y153" s="149"/>
      <c r="Z153" s="149">
        <f>IF(Z150+Z151&lt;11,0,IF(Z150&gt;10,0,10-Z150))</f>
        <v>0</v>
      </c>
      <c r="AA153" s="149">
        <f>IF(AA150+AA151&lt;11,0,IF(AA150&gt;10,0,10-AA150))</f>
        <v>0</v>
      </c>
      <c r="AB153" s="149"/>
      <c r="AC153" s="149"/>
      <c r="AD153" s="150"/>
    </row>
    <row r="154" spans="1:30" ht="12.75" hidden="1">
      <c r="A154" s="148"/>
      <c r="B154" s="149">
        <f>IF(B150+B153&gt;=10,(B151-B153)/2,0)</f>
        <v>0</v>
      </c>
      <c r="C154" s="149">
        <f>IF(C150+C153&gt;=10,(C151-C153)/2,0)</f>
        <v>0</v>
      </c>
      <c r="D154" s="149"/>
      <c r="E154" s="149"/>
      <c r="F154" s="150"/>
      <c r="G154" s="148"/>
      <c r="H154" s="149">
        <f>IF(H150+H153&gt;=10,(H151-H153)/2,0)</f>
        <v>0</v>
      </c>
      <c r="I154" s="149">
        <f>IF(I150+I153&gt;=10,(I151-I153)/2,0)</f>
        <v>0</v>
      </c>
      <c r="J154" s="149"/>
      <c r="K154" s="149"/>
      <c r="L154" s="150"/>
      <c r="M154" s="148"/>
      <c r="N154" s="149">
        <f>IF(N150+N153&gt;=10,(N151-N153)/2,0)</f>
        <v>0</v>
      </c>
      <c r="O154" s="149">
        <f>IF(O150+O153&gt;=10,(O151-O153)/2,0)</f>
        <v>0</v>
      </c>
      <c r="P154" s="149"/>
      <c r="Q154" s="149"/>
      <c r="R154" s="150"/>
      <c r="S154" s="148"/>
      <c r="T154" s="149">
        <f>IF(T150+T153&gt;=10,(T151-T153)/2,0)</f>
        <v>0</v>
      </c>
      <c r="U154" s="149">
        <f>IF(U150+U153&gt;=10,(U151-U153)/2,0)</f>
        <v>0</v>
      </c>
      <c r="V154" s="149"/>
      <c r="W154" s="149"/>
      <c r="X154" s="150"/>
      <c r="Y154" s="149"/>
      <c r="Z154" s="149">
        <f>IF(Z150+Z153&gt;=10,(Z151-Z153)/2,0)</f>
        <v>0</v>
      </c>
      <c r="AA154" s="149">
        <f>IF(AA150+AA153&gt;=10,(AA151-AA153)/2,0)</f>
        <v>0</v>
      </c>
      <c r="AB154" s="149"/>
      <c r="AC154" s="149"/>
      <c r="AD154" s="150"/>
    </row>
    <row r="155" spans="1:30" ht="12.75" hidden="1">
      <c r="A155" s="148"/>
      <c r="B155" s="149">
        <f>ROUNDDOWN(B150+B152+B153+B154,0)</f>
        <v>0</v>
      </c>
      <c r="C155" s="149">
        <f>ROUNDDOWN(C150+C152+C153+C154,0)</f>
        <v>0</v>
      </c>
      <c r="D155" s="149"/>
      <c r="E155" s="149"/>
      <c r="F155" s="150"/>
      <c r="G155" s="148"/>
      <c r="H155" s="149">
        <f>ROUNDDOWN(H150+H152+H153+H154,0)</f>
        <v>0</v>
      </c>
      <c r="I155" s="149">
        <f>ROUNDDOWN(I150+I152+I153+I154,0)</f>
        <v>0</v>
      </c>
      <c r="J155" s="149"/>
      <c r="K155" s="149"/>
      <c r="L155" s="150"/>
      <c r="M155" s="148"/>
      <c r="N155" s="149">
        <f>ROUNDDOWN(N150+N152+N153+N154,0)</f>
        <v>0</v>
      </c>
      <c r="O155" s="149">
        <f>ROUNDDOWN(O150+O152+O153+O154,0)</f>
        <v>0</v>
      </c>
      <c r="P155" s="149"/>
      <c r="Q155" s="149"/>
      <c r="R155" s="150"/>
      <c r="S155" s="148"/>
      <c r="T155" s="149">
        <f>ROUNDDOWN(T150+T152+T153+T154,0)</f>
        <v>0</v>
      </c>
      <c r="U155" s="149">
        <f>ROUNDDOWN(U150+U152+U153+U154,0)</f>
        <v>0</v>
      </c>
      <c r="V155" s="149"/>
      <c r="W155" s="149"/>
      <c r="X155" s="150"/>
      <c r="Y155" s="149"/>
      <c r="Z155" s="149">
        <f>ROUNDDOWN(Z150+Z152+Z153+Z154,0)</f>
        <v>0</v>
      </c>
      <c r="AA155" s="149">
        <f>ROUNDDOWN(AA150+AA152+AA153+AA154,0)</f>
        <v>0</v>
      </c>
      <c r="AB155" s="149"/>
      <c r="AC155" s="149"/>
      <c r="AD155" s="150"/>
    </row>
    <row r="156" spans="1:30" ht="12.75" hidden="1">
      <c r="A156" s="148" t="s">
        <v>18</v>
      </c>
      <c r="B156" s="149">
        <f>B45/2</f>
        <v>0</v>
      </c>
      <c r="C156" s="149">
        <f>C45/2</f>
        <v>0</v>
      </c>
      <c r="D156" s="149"/>
      <c r="E156" s="149"/>
      <c r="F156" s="150"/>
      <c r="G156" s="148" t="s">
        <v>18</v>
      </c>
      <c r="H156" s="149">
        <f>H45/2</f>
        <v>0</v>
      </c>
      <c r="I156" s="149">
        <f>I45/2</f>
        <v>0</v>
      </c>
      <c r="J156" s="149"/>
      <c r="K156" s="149"/>
      <c r="L156" s="150"/>
      <c r="M156" s="148" t="s">
        <v>18</v>
      </c>
      <c r="N156" s="149">
        <f>N45/2</f>
        <v>0</v>
      </c>
      <c r="O156" s="149">
        <f>O45/2</f>
        <v>0</v>
      </c>
      <c r="P156" s="149"/>
      <c r="Q156" s="149"/>
      <c r="R156" s="150"/>
      <c r="S156" s="148" t="s">
        <v>18</v>
      </c>
      <c r="T156" s="149">
        <f>T45/2</f>
        <v>0</v>
      </c>
      <c r="U156" s="149">
        <f>U45/2</f>
        <v>0</v>
      </c>
      <c r="V156" s="149"/>
      <c r="W156" s="149"/>
      <c r="X156" s="150"/>
      <c r="Y156" s="149" t="s">
        <v>18</v>
      </c>
      <c r="Z156" s="149">
        <f>Z45/2</f>
        <v>0</v>
      </c>
      <c r="AA156" s="149">
        <f>AA45/2</f>
        <v>0</v>
      </c>
      <c r="AB156" s="149"/>
      <c r="AC156" s="149"/>
      <c r="AD156" s="150"/>
    </row>
    <row r="157" spans="1:30" ht="12.75" hidden="1">
      <c r="A157" s="148"/>
      <c r="B157" s="149">
        <f>IF(B155+B156&lt;=10,B156,0)</f>
        <v>0</v>
      </c>
      <c r="C157" s="149">
        <f>IF(C155+C156&lt;=10,C156,0)</f>
        <v>0</v>
      </c>
      <c r="D157" s="149"/>
      <c r="E157" s="149"/>
      <c r="F157" s="150"/>
      <c r="G157" s="148"/>
      <c r="H157" s="149">
        <f>IF(H155+H156&lt;=10,H156,0)</f>
        <v>0</v>
      </c>
      <c r="I157" s="149">
        <f>IF(I155+I156&lt;=10,I156,0)</f>
        <v>0</v>
      </c>
      <c r="J157" s="149"/>
      <c r="K157" s="149"/>
      <c r="L157" s="150"/>
      <c r="M157" s="148"/>
      <c r="N157" s="149">
        <f>IF(N155+N156&lt;=10,N156,0)</f>
        <v>0</v>
      </c>
      <c r="O157" s="149">
        <f>IF(O155+O156&lt;=10,O156,0)</f>
        <v>0</v>
      </c>
      <c r="P157" s="149"/>
      <c r="Q157" s="149"/>
      <c r="R157" s="150"/>
      <c r="S157" s="148"/>
      <c r="T157" s="149">
        <f>IF(T155+T156&lt;=10,T156,0)</f>
        <v>0</v>
      </c>
      <c r="U157" s="149">
        <f>IF(U155+U156&lt;=10,U156,0)</f>
        <v>0</v>
      </c>
      <c r="V157" s="149"/>
      <c r="W157" s="149"/>
      <c r="X157" s="150"/>
      <c r="Y157" s="149"/>
      <c r="Z157" s="149">
        <f>IF(Z155+Z156&lt;=10,Z156,0)</f>
        <v>0</v>
      </c>
      <c r="AA157" s="149">
        <f>IF(AA155+AA156&lt;=10,AA156,0)</f>
        <v>0</v>
      </c>
      <c r="AB157" s="149"/>
      <c r="AC157" s="149"/>
      <c r="AD157" s="150"/>
    </row>
    <row r="158" spans="1:30" ht="12.75" hidden="1">
      <c r="A158" s="148"/>
      <c r="B158" s="149">
        <f>IF(B155+B156&lt;11,0,IF(B155&gt;10,0,10-B155))</f>
        <v>0</v>
      </c>
      <c r="C158" s="149">
        <f>IF(C155+C156&lt;11,0,IF(C155&gt;10,0,10-C155))</f>
        <v>0</v>
      </c>
      <c r="D158" s="149"/>
      <c r="E158" s="149"/>
      <c r="F158" s="150"/>
      <c r="G158" s="148"/>
      <c r="H158" s="149">
        <f>IF(H155+H156&lt;11,0,IF(H155&gt;10,0,10-H155))</f>
        <v>0</v>
      </c>
      <c r="I158" s="149">
        <f>IF(I155+I156&lt;11,0,IF(I155&gt;10,0,10-I155))</f>
        <v>0</v>
      </c>
      <c r="J158" s="149"/>
      <c r="K158" s="149"/>
      <c r="L158" s="150"/>
      <c r="M158" s="148"/>
      <c r="N158" s="149">
        <f>IF(N155+N156&lt;11,0,IF(N155&gt;10,0,10-N155))</f>
        <v>0</v>
      </c>
      <c r="O158" s="149">
        <f>IF(O155+O156&lt;11,0,IF(O155&gt;10,0,10-O155))</f>
        <v>0</v>
      </c>
      <c r="P158" s="149"/>
      <c r="Q158" s="149"/>
      <c r="R158" s="150"/>
      <c r="S158" s="148"/>
      <c r="T158" s="149">
        <f>IF(T155+T156&lt;11,0,IF(T155&gt;10,0,10-T155))</f>
        <v>0</v>
      </c>
      <c r="U158" s="149">
        <f>IF(U155+U156&lt;11,0,IF(U155&gt;10,0,10-U155))</f>
        <v>0</v>
      </c>
      <c r="V158" s="149"/>
      <c r="W158" s="149"/>
      <c r="X158" s="150"/>
      <c r="Y158" s="149"/>
      <c r="Z158" s="149">
        <f>IF(Z155+Z156&lt;11,0,IF(Z155&gt;10,0,10-Z155))</f>
        <v>0</v>
      </c>
      <c r="AA158" s="149">
        <f>IF(AA155+AA156&lt;11,0,IF(AA155&gt;10,0,10-AA155))</f>
        <v>0</v>
      </c>
      <c r="AB158" s="149"/>
      <c r="AC158" s="149"/>
      <c r="AD158" s="150"/>
    </row>
    <row r="159" spans="1:30" ht="13.5" hidden="1" thickBot="1">
      <c r="A159" s="151"/>
      <c r="B159" s="152">
        <f>IF(B155+B158&gt;=10,(B156-B158)/2,0)</f>
        <v>0</v>
      </c>
      <c r="C159" s="152">
        <f>IF(C155+C158&gt;=10,(C156-C158)/2,0)</f>
        <v>0</v>
      </c>
      <c r="D159" s="152"/>
      <c r="E159" s="152"/>
      <c r="F159" s="153"/>
      <c r="G159" s="151"/>
      <c r="H159" s="152">
        <f>IF(H155+H158&gt;=10,(H156-H158)/2,0)</f>
        <v>0</v>
      </c>
      <c r="I159" s="152">
        <f>IF(I155+I158&gt;=10,(I156-I158)/2,0)</f>
        <v>0</v>
      </c>
      <c r="J159" s="152"/>
      <c r="K159" s="152"/>
      <c r="L159" s="153"/>
      <c r="M159" s="151"/>
      <c r="N159" s="152">
        <f>IF(N155+N158&gt;=10,(N156-N158)/2,0)</f>
        <v>0</v>
      </c>
      <c r="O159" s="152">
        <f>IF(O155+O158&gt;=10,(O156-O158)/2,0)</f>
        <v>0</v>
      </c>
      <c r="P159" s="152"/>
      <c r="Q159" s="152"/>
      <c r="R159" s="153"/>
      <c r="S159" s="151"/>
      <c r="T159" s="152">
        <f>IF(T155+T158&gt;=10,(T156-T158)/2,0)</f>
        <v>0</v>
      </c>
      <c r="U159" s="152">
        <f>IF(U155+U158&gt;=10,(U156-U158)/2,0)</f>
        <v>0</v>
      </c>
      <c r="V159" s="152"/>
      <c r="W159" s="152"/>
      <c r="X159" s="153"/>
      <c r="Y159" s="152"/>
      <c r="Z159" s="152">
        <f>IF(Z155+Z158&gt;=10,(Z156-Z158)/2,0)</f>
        <v>0</v>
      </c>
      <c r="AA159" s="152">
        <f>IF(AA155+AA158&gt;=10,(AA156-AA158)/2,0)</f>
        <v>0</v>
      </c>
      <c r="AB159" s="152"/>
      <c r="AC159" s="152"/>
      <c r="AD159" s="153"/>
    </row>
    <row r="160" spans="1:30" ht="12.75" hidden="1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</row>
    <row r="161" spans="1:30" ht="13.5" hidden="1" thickBo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</row>
    <row r="162" spans="1:30" ht="13.5" hidden="1" thickBot="1">
      <c r="A162" s="155"/>
      <c r="B162" s="156">
        <f>COUNT(A17:A36)</f>
        <v>0</v>
      </c>
      <c r="C162" s="156" t="s">
        <v>71</v>
      </c>
      <c r="D162" s="156"/>
      <c r="E162" s="156"/>
      <c r="F162" s="157"/>
      <c r="G162" s="155"/>
      <c r="H162" s="156">
        <f>COUNT(G17:G36)</f>
        <v>0</v>
      </c>
      <c r="I162" s="156" t="s">
        <v>71</v>
      </c>
      <c r="J162" s="156"/>
      <c r="K162" s="156"/>
      <c r="L162" s="157"/>
      <c r="M162" s="155"/>
      <c r="N162" s="156">
        <f>COUNT(M17:M36)</f>
        <v>0</v>
      </c>
      <c r="O162" s="156" t="s">
        <v>71</v>
      </c>
      <c r="P162" s="156"/>
      <c r="Q162" s="156"/>
      <c r="R162" s="157"/>
      <c r="S162" s="155"/>
      <c r="T162" s="156">
        <f>COUNT(S17:S36)</f>
        <v>0</v>
      </c>
      <c r="U162" s="156" t="s">
        <v>71</v>
      </c>
      <c r="V162" s="156"/>
      <c r="W162" s="156"/>
      <c r="X162" s="157"/>
      <c r="Y162" s="155"/>
      <c r="Z162" s="156">
        <f>COUNT(Y17:Y36)</f>
        <v>0</v>
      </c>
      <c r="AA162" s="156" t="s">
        <v>71</v>
      </c>
      <c r="AB162" s="156"/>
      <c r="AC162" s="156"/>
      <c r="AD162" s="157"/>
    </row>
    <row r="163" spans="1:30" ht="12.75" hidden="1">
      <c r="A163" s="107">
        <f>AG17</f>
        <v>0</v>
      </c>
      <c r="B163" s="108" t="str">
        <f>IF(A163="GK","",IF(A163="GK/SW","",IF(A163="GS","",IF(A163="SUT","","ILLEGAL GK "))))</f>
        <v>ILLEGAL GK </v>
      </c>
      <c r="C163" s="109"/>
      <c r="D163" s="110"/>
      <c r="E163" s="110"/>
      <c r="F163" s="110"/>
      <c r="G163" s="107">
        <f>AH17</f>
        <v>0</v>
      </c>
      <c r="H163" s="108" t="str">
        <f>IF(G163="GK","",IF(G163="GK/SW","",IF(G163="GS","",IF(G163="SUT","","ILLEGAL GK "))))</f>
        <v>ILLEGAL GK </v>
      </c>
      <c r="I163" s="109"/>
      <c r="J163" s="110"/>
      <c r="K163" s="110"/>
      <c r="L163" s="110"/>
      <c r="M163" s="107">
        <f>AI17</f>
        <v>0</v>
      </c>
      <c r="N163" s="108" t="str">
        <f>IF(M163="GK","",IF(M163="GK/SW","",IF(M163="GS","",IF(M163="SUT","","ILLEGAL GK "))))</f>
        <v>ILLEGAL GK </v>
      </c>
      <c r="O163" s="109"/>
      <c r="P163" s="110"/>
      <c r="Q163" s="110"/>
      <c r="R163" s="110"/>
      <c r="S163" s="107">
        <f>AJ17</f>
        <v>0</v>
      </c>
      <c r="T163" s="108" t="str">
        <f>IF(S163="GK","",IF(S163="GK/SW","",IF(S163="GS","",IF(S163="SUT","","ILLEGAL GK "))))</f>
        <v>ILLEGAL GK </v>
      </c>
      <c r="U163" s="109"/>
      <c r="V163" s="110"/>
      <c r="W163" s="110"/>
      <c r="X163" s="111"/>
      <c r="Y163" s="107">
        <f>AK17</f>
        <v>0</v>
      </c>
      <c r="Z163" s="108" t="str">
        <f>IF(Y163="GK","",IF(Y163="GK/SW","",IF(Y163="GS","",IF(Y163="SUT","","ILLEGAL GK "))))</f>
        <v>ILLEGAL GK </v>
      </c>
      <c r="AA163" s="109"/>
      <c r="AB163" s="110"/>
      <c r="AC163" s="110"/>
      <c r="AD163" s="111"/>
    </row>
    <row r="164" spans="1:30" ht="12.75" hidden="1">
      <c r="A164" s="107">
        <f aca="true" t="shared" si="1" ref="A164:A182">AG18</f>
        <v>0</v>
      </c>
      <c r="B164" s="108">
        <f>IF(A164="SW","",IF(A164="GK/SW","",IF(A164="GS","",IF(A164="SUT","",IF(A164=0,"","ILLEGAL SW ")))))</f>
      </c>
      <c r="C164" s="110" t="str">
        <f>LOOKUP(A18,squad!$B$18:$N$59,squad!$G$18:$G$59)</f>
        <v> </v>
      </c>
      <c r="D164" s="110" t="s">
        <v>11</v>
      </c>
      <c r="E164" s="110">
        <f>IF(A164="SW","SW",IF(A164="GK/SW","SW",IF(A164="SUT","SW","")))</f>
      </c>
      <c r="F164" s="110"/>
      <c r="G164" s="107">
        <f aca="true" t="shared" si="2" ref="G164:G182">AH18</f>
        <v>0</v>
      </c>
      <c r="H164" s="108">
        <f>IF(G164="SW","",IF(G164="GK/SW","",IF(G164="GS","",IF(G164="SUT","",IF(G164=0,"","ILLEGAL SW ")))))</f>
      </c>
      <c r="I164" s="110" t="str">
        <f>LOOKUP(G18,squad!$B$18:$N$59,squad!$G$18:$G$59)</f>
        <v> </v>
      </c>
      <c r="J164" s="110" t="s">
        <v>11</v>
      </c>
      <c r="K164" s="110">
        <f>IF(G164="SW","SW",IF(G164="GK/SW","SW",IF(G164="SUT","SW","")))</f>
      </c>
      <c r="L164" s="110"/>
      <c r="M164" s="107">
        <f aca="true" t="shared" si="3" ref="M164:M182">AI18</f>
        <v>0</v>
      </c>
      <c r="N164" s="108">
        <f>IF(M164="SW","",IF(M164="GK/SW","",IF(M164="GS","",IF(M164="SUT","",IF(M164=0,"","ILLEGAL SW ")))))</f>
      </c>
      <c r="O164" s="110" t="str">
        <f>LOOKUP(M18,squad!$B$18:$N$59,squad!$G$18:$G$59)</f>
        <v> </v>
      </c>
      <c r="P164" s="110" t="s">
        <v>11</v>
      </c>
      <c r="Q164" s="110">
        <f>IF(M164="SW","SW",IF(M164="GK/SW","SW",IF(M164="SUT","SW","")))</f>
      </c>
      <c r="R164" s="110"/>
      <c r="S164" s="107">
        <f aca="true" t="shared" si="4" ref="S164:S182">AJ18</f>
        <v>0</v>
      </c>
      <c r="T164" s="108">
        <f>IF(S164="SW","",IF(S164="GK/SW","",IF(S164="GS","",IF(S164="SUT","",IF(S164=0,"","ILLEGAL SW ")))))</f>
      </c>
      <c r="U164" s="110" t="str">
        <f>LOOKUP(S18,squad!$B$18:$N$59,squad!$G$18:$G$59)</f>
        <v> </v>
      </c>
      <c r="V164" s="110" t="s">
        <v>11</v>
      </c>
      <c r="W164" s="110">
        <f>IF(S164="SW","SW",IF(S164="GK/SW","SW",IF(S164="SUT","SW","")))</f>
      </c>
      <c r="X164" s="111"/>
      <c r="Y164" s="107">
        <f aca="true" t="shared" si="5" ref="Y164:Y182">AK18</f>
        <v>0</v>
      </c>
      <c r="Z164" s="108">
        <f>IF(Y164="SW","",IF(Y164="GK/SW","",IF(Y164="GS","",IF(Y164="SUT","",IF(Y164=0,"","ILLEGAL SW ")))))</f>
      </c>
      <c r="AA164" s="110" t="str">
        <f>LOOKUP(Y18,squad!$B$18:$N$59,squad!$G$18:$G$59)</f>
        <v> </v>
      </c>
      <c r="AB164" s="110" t="s">
        <v>11</v>
      </c>
      <c r="AC164" s="110">
        <f>IF(Y164="SW","SW",IF(Y164="GK/SW","SW",IF(Y164="SUT","SW","")))</f>
      </c>
      <c r="AD164" s="111"/>
    </row>
    <row r="165" spans="1:30" ht="12.75" hidden="1">
      <c r="A165" s="107">
        <f t="shared" si="1"/>
        <v>0</v>
      </c>
      <c r="B165" s="110">
        <f aca="true" t="shared" si="6" ref="B165:B170">IF(A165="FB",0,IF(A165="DF",0,IF(A165="DF/MF",0,IF(A165="DF/FW",0,IF(A165="DLM",0,IF(A165="UT",0,IF(A165="SUT",0,-1)))))))</f>
        <v>-1</v>
      </c>
      <c r="C165" s="110">
        <f>IF(A165=0,1,IF(A165=" ",1,0))</f>
        <v>1</v>
      </c>
      <c r="D165" s="110">
        <f aca="true" t="shared" si="7" ref="D165:D170">IF(A165&lt;&gt;"FB",,IF(E165="V",5,IF(E165="IV",4,IF(E165="III",3,IF(E165="II",2,IF(E165="I",1,0))))))</f>
        <v>0</v>
      </c>
      <c r="E165" s="110" t="str">
        <f>LOOKUP(A19,squad!$B$18:$B$59,squad!$G$18:$G$59)</f>
        <v> </v>
      </c>
      <c r="F165" s="110"/>
      <c r="G165" s="107">
        <f t="shared" si="2"/>
        <v>0</v>
      </c>
      <c r="H165" s="110">
        <f aca="true" t="shared" si="8" ref="H165:H170">IF(G165="FB",0,IF(G165="DF",0,IF(G165="DF/MF",0,IF(G165="DF/FW",0,IF(G165="DLM",0,IF(G165="UT",0,IF(G165="SUT",0,-1)))))))</f>
        <v>-1</v>
      </c>
      <c r="I165" s="110">
        <f>IF(G165=0,1,IF(G165=" ",1,0))</f>
        <v>1</v>
      </c>
      <c r="J165" s="110">
        <f aca="true" t="shared" si="9" ref="J165:J170">IF(G165&lt;&gt;"FB",,IF(K165="V",5,IF(K165="IV",4,IF(K165="III",3,IF(K165="II",2,IF(K165="I",1,0))))))</f>
        <v>0</v>
      </c>
      <c r="K165" s="110" t="str">
        <f>LOOKUP(G19,squad!$B$18:$B$59,squad!$G$18:$G$59)</f>
        <v> </v>
      </c>
      <c r="L165" s="110"/>
      <c r="M165" s="107">
        <f t="shared" si="3"/>
        <v>0</v>
      </c>
      <c r="N165" s="110">
        <f aca="true" t="shared" si="10" ref="N165:N170">IF(M165="FB",0,IF(M165="DF",0,IF(M165="DF/MF",0,IF(M165="DF/FW",0,IF(M165="DLM",0,IF(M165="UT",0,IF(M165="SUT",0,-1)))))))</f>
        <v>-1</v>
      </c>
      <c r="O165" s="110">
        <f>IF(M165=0,1,IF(M165=" ",1,0))</f>
        <v>1</v>
      </c>
      <c r="P165" s="110">
        <f aca="true" t="shared" si="11" ref="P165:P170">IF(M165&lt;&gt;"FB",,IF(Q165="V",5,IF(Q165="IV",4,IF(Q165="III",3,IF(Q165="II",2,IF(Q165="I",1,0))))))</f>
        <v>0</v>
      </c>
      <c r="Q165" s="110" t="str">
        <f>LOOKUP(M19,squad!$B$18:$B$59,squad!$G$18:$G$59)</f>
        <v> </v>
      </c>
      <c r="R165" s="110"/>
      <c r="S165" s="107">
        <f t="shared" si="4"/>
        <v>0</v>
      </c>
      <c r="T165" s="110">
        <f aca="true" t="shared" si="12" ref="T165:T170">IF(S165="FB",0,IF(S165="DF",0,IF(S165="DF/MF",0,IF(S165="DF/FW",0,IF(S165="DLM",0,IF(S165="UT",0,IF(S165="SUT",0,-1)))))))</f>
        <v>-1</v>
      </c>
      <c r="U165" s="110">
        <f>IF(S165=0,1,IF(S165=" ",1,0))</f>
        <v>1</v>
      </c>
      <c r="V165" s="110">
        <f aca="true" t="shared" si="13" ref="V165:V170">IF(S165&lt;&gt;"FB",,IF(W165="V",5,IF(W165="IV",4,IF(W165="III",3,IF(W165="II",2,IF(W165="I",1,0))))))</f>
        <v>0</v>
      </c>
      <c r="W165" s="110" t="str">
        <f>LOOKUP(S19,squad!$B$18:$B$59,squad!$G$18:$G$59)</f>
        <v> </v>
      </c>
      <c r="X165" s="111"/>
      <c r="Y165" s="107">
        <f t="shared" si="5"/>
        <v>0</v>
      </c>
      <c r="Z165" s="110">
        <f aca="true" t="shared" si="14" ref="Z165:Z170">IF(Y165="FB",0,IF(Y165="DF",0,IF(Y165="DF/MF",0,IF(Y165="DF/FW",0,IF(Y165="DLM",0,IF(Y165="UT",0,IF(Y165="SUT",0,-1)))))))</f>
        <v>-1</v>
      </c>
      <c r="AA165" s="110">
        <f>IF(Y165=0,1,IF(Y165=" ",1,0))</f>
        <v>1</v>
      </c>
      <c r="AB165" s="110">
        <f aca="true" t="shared" si="15" ref="AB165:AB170">IF(Y165&lt;&gt;"FB",,IF(AC165="V",5,IF(AC165="IV",4,IF(AC165="III",3,IF(AC165="II",2,IF(AC165="I",1,0))))))</f>
        <v>0</v>
      </c>
      <c r="AC165" s="110" t="str">
        <f>LOOKUP(Y19,squad!$B$18:$B$59,squad!$G$18:$G$59)</f>
        <v> </v>
      </c>
      <c r="AD165" s="111"/>
    </row>
    <row r="166" spans="1:30" ht="12.75" hidden="1">
      <c r="A166" s="107">
        <f t="shared" si="1"/>
        <v>0</v>
      </c>
      <c r="B166" s="110">
        <f t="shared" si="6"/>
        <v>-1</v>
      </c>
      <c r="C166" s="110">
        <f aca="true" t="shared" si="16" ref="C166:C182">IF(A166=0,1,IF(A166=" ",1,0))</f>
        <v>1</v>
      </c>
      <c r="D166" s="110">
        <f t="shared" si="7"/>
        <v>0</v>
      </c>
      <c r="E166" s="110" t="str">
        <f>LOOKUP(A20,squad!$B$18:$B$59,squad!$G$18:$G$59)</f>
        <v> </v>
      </c>
      <c r="F166" s="110"/>
      <c r="G166" s="107">
        <f t="shared" si="2"/>
        <v>0</v>
      </c>
      <c r="H166" s="110">
        <f t="shared" si="8"/>
        <v>-1</v>
      </c>
      <c r="I166" s="110">
        <f aca="true" t="shared" si="17" ref="I166:I182">IF(G166=0,1,IF(G166=" ",1,0))</f>
        <v>1</v>
      </c>
      <c r="J166" s="110">
        <f t="shared" si="9"/>
        <v>0</v>
      </c>
      <c r="K166" s="110" t="str">
        <f>LOOKUP(G20,squad!$B$18:$B$59,squad!$G$18:$G$59)</f>
        <v> </v>
      </c>
      <c r="L166" s="110"/>
      <c r="M166" s="107">
        <f t="shared" si="3"/>
        <v>0</v>
      </c>
      <c r="N166" s="110">
        <f t="shared" si="10"/>
        <v>-1</v>
      </c>
      <c r="O166" s="110">
        <f aca="true" t="shared" si="18" ref="O166:O182">IF(M166=0,1,IF(M166=" ",1,0))</f>
        <v>1</v>
      </c>
      <c r="P166" s="110">
        <f t="shared" si="11"/>
        <v>0</v>
      </c>
      <c r="Q166" s="110" t="str">
        <f>LOOKUP(M20,squad!$B$18:$B$59,squad!$G$18:$G$59)</f>
        <v> </v>
      </c>
      <c r="R166" s="110"/>
      <c r="S166" s="107">
        <f t="shared" si="4"/>
        <v>0</v>
      </c>
      <c r="T166" s="110">
        <f t="shared" si="12"/>
        <v>-1</v>
      </c>
      <c r="U166" s="110">
        <f aca="true" t="shared" si="19" ref="U166:U182">IF(S166=0,1,IF(S166=" ",1,0))</f>
        <v>1</v>
      </c>
      <c r="V166" s="110">
        <f t="shared" si="13"/>
        <v>0</v>
      </c>
      <c r="W166" s="110" t="str">
        <f>LOOKUP(S20,squad!$B$18:$B$59,squad!$G$18:$G$59)</f>
        <v> </v>
      </c>
      <c r="X166" s="111"/>
      <c r="Y166" s="107">
        <f t="shared" si="5"/>
        <v>0</v>
      </c>
      <c r="Z166" s="110">
        <f t="shared" si="14"/>
        <v>-1</v>
      </c>
      <c r="AA166" s="110">
        <f aca="true" t="shared" si="20" ref="AA166:AA182">IF(Y166=0,1,IF(Y166=" ",1,0))</f>
        <v>1</v>
      </c>
      <c r="AB166" s="110">
        <f t="shared" si="15"/>
        <v>0</v>
      </c>
      <c r="AC166" s="110" t="str">
        <f>LOOKUP(Y20,squad!$B$18:$B$59,squad!$G$18:$G$59)</f>
        <v> </v>
      </c>
      <c r="AD166" s="111"/>
    </row>
    <row r="167" spans="1:30" ht="12.75" hidden="1">
      <c r="A167" s="107">
        <f t="shared" si="1"/>
        <v>0</v>
      </c>
      <c r="B167" s="110">
        <f t="shared" si="6"/>
        <v>-1</v>
      </c>
      <c r="C167" s="110">
        <f t="shared" si="16"/>
        <v>1</v>
      </c>
      <c r="D167" s="110">
        <f t="shared" si="7"/>
        <v>0</v>
      </c>
      <c r="E167" s="110" t="str">
        <f>LOOKUP(A21,squad!$B$18:$B$59,squad!$G$18:$G$59)</f>
        <v> </v>
      </c>
      <c r="F167" s="110"/>
      <c r="G167" s="107">
        <f t="shared" si="2"/>
        <v>0</v>
      </c>
      <c r="H167" s="110">
        <f t="shared" si="8"/>
        <v>-1</v>
      </c>
      <c r="I167" s="110">
        <f t="shared" si="17"/>
        <v>1</v>
      </c>
      <c r="J167" s="110">
        <f t="shared" si="9"/>
        <v>0</v>
      </c>
      <c r="K167" s="110" t="str">
        <f>LOOKUP(G21,squad!$B$18:$B$59,squad!$G$18:$G$59)</f>
        <v> </v>
      </c>
      <c r="L167" s="110"/>
      <c r="M167" s="107">
        <f t="shared" si="3"/>
        <v>0</v>
      </c>
      <c r="N167" s="110">
        <f t="shared" si="10"/>
        <v>-1</v>
      </c>
      <c r="O167" s="110">
        <f t="shared" si="18"/>
        <v>1</v>
      </c>
      <c r="P167" s="110">
        <f t="shared" si="11"/>
        <v>0</v>
      </c>
      <c r="Q167" s="110" t="str">
        <f>LOOKUP(M21,squad!$B$18:$B$59,squad!$G$18:$G$59)</f>
        <v> </v>
      </c>
      <c r="R167" s="110"/>
      <c r="S167" s="107">
        <f t="shared" si="4"/>
        <v>0</v>
      </c>
      <c r="T167" s="110">
        <f t="shared" si="12"/>
        <v>-1</v>
      </c>
      <c r="U167" s="110">
        <f t="shared" si="19"/>
        <v>1</v>
      </c>
      <c r="V167" s="110">
        <f t="shared" si="13"/>
        <v>0</v>
      </c>
      <c r="W167" s="110" t="str">
        <f>LOOKUP(S21,squad!$B$18:$B$59,squad!$G$18:$G$59)</f>
        <v> </v>
      </c>
      <c r="X167" s="111"/>
      <c r="Y167" s="107">
        <f t="shared" si="5"/>
        <v>0</v>
      </c>
      <c r="Z167" s="110">
        <f t="shared" si="14"/>
        <v>-1</v>
      </c>
      <c r="AA167" s="110">
        <f t="shared" si="20"/>
        <v>1</v>
      </c>
      <c r="AB167" s="110">
        <f t="shared" si="15"/>
        <v>0</v>
      </c>
      <c r="AC167" s="110" t="str">
        <f>LOOKUP(Y21,squad!$B$18:$B$59,squad!$G$18:$G$59)</f>
        <v> </v>
      </c>
      <c r="AD167" s="111"/>
    </row>
    <row r="168" spans="1:30" ht="12.75" hidden="1">
      <c r="A168" s="107">
        <f t="shared" si="1"/>
        <v>0</v>
      </c>
      <c r="B168" s="110">
        <f t="shared" si="6"/>
        <v>-1</v>
      </c>
      <c r="C168" s="110">
        <f t="shared" si="16"/>
        <v>1</v>
      </c>
      <c r="D168" s="110">
        <f t="shared" si="7"/>
        <v>0</v>
      </c>
      <c r="E168" s="110" t="str">
        <f>LOOKUP(A22,squad!$B$18:$B$59,squad!$G$18:$G$59)</f>
        <v> </v>
      </c>
      <c r="F168" s="110"/>
      <c r="G168" s="107">
        <f t="shared" si="2"/>
        <v>0</v>
      </c>
      <c r="H168" s="110">
        <f t="shared" si="8"/>
        <v>-1</v>
      </c>
      <c r="I168" s="110">
        <f t="shared" si="17"/>
        <v>1</v>
      </c>
      <c r="J168" s="110">
        <f t="shared" si="9"/>
        <v>0</v>
      </c>
      <c r="K168" s="110" t="str">
        <f>LOOKUP(G22,squad!$B$18:$B$59,squad!$G$18:$G$59)</f>
        <v> </v>
      </c>
      <c r="L168" s="110"/>
      <c r="M168" s="107">
        <f t="shared" si="3"/>
        <v>0</v>
      </c>
      <c r="N168" s="110">
        <f t="shared" si="10"/>
        <v>-1</v>
      </c>
      <c r="O168" s="110">
        <f t="shared" si="18"/>
        <v>1</v>
      </c>
      <c r="P168" s="110">
        <f t="shared" si="11"/>
        <v>0</v>
      </c>
      <c r="Q168" s="110" t="str">
        <f>LOOKUP(M22,squad!$B$18:$B$59,squad!$G$18:$G$59)</f>
        <v> </v>
      </c>
      <c r="R168" s="110"/>
      <c r="S168" s="107">
        <f t="shared" si="4"/>
        <v>0</v>
      </c>
      <c r="T168" s="110">
        <f t="shared" si="12"/>
        <v>-1</v>
      </c>
      <c r="U168" s="110">
        <f t="shared" si="19"/>
        <v>1</v>
      </c>
      <c r="V168" s="110">
        <f t="shared" si="13"/>
        <v>0</v>
      </c>
      <c r="W168" s="110" t="str">
        <f>LOOKUP(S22,squad!$B$18:$B$59,squad!$G$18:$G$59)</f>
        <v> </v>
      </c>
      <c r="X168" s="111"/>
      <c r="Y168" s="107">
        <f t="shared" si="5"/>
        <v>0</v>
      </c>
      <c r="Z168" s="110">
        <f t="shared" si="14"/>
        <v>-1</v>
      </c>
      <c r="AA168" s="110">
        <f t="shared" si="20"/>
        <v>1</v>
      </c>
      <c r="AB168" s="110">
        <f t="shared" si="15"/>
        <v>0</v>
      </c>
      <c r="AC168" s="110" t="str">
        <f>LOOKUP(Y22,squad!$B$18:$B$59,squad!$G$18:$G$59)</f>
        <v> </v>
      </c>
      <c r="AD168" s="111"/>
    </row>
    <row r="169" spans="1:30" ht="12.75" hidden="1">
      <c r="A169" s="107">
        <f t="shared" si="1"/>
        <v>0</v>
      </c>
      <c r="B169" s="110">
        <f t="shared" si="6"/>
        <v>-1</v>
      </c>
      <c r="C169" s="110">
        <f t="shared" si="16"/>
        <v>1</v>
      </c>
      <c r="D169" s="110">
        <f t="shared" si="7"/>
        <v>0</v>
      </c>
      <c r="E169" s="110" t="str">
        <f>LOOKUP(A23,squad!$B$18:$B$59,squad!$G$18:$G$59)</f>
        <v> </v>
      </c>
      <c r="F169" s="110"/>
      <c r="G169" s="107">
        <f t="shared" si="2"/>
        <v>0</v>
      </c>
      <c r="H169" s="110">
        <f t="shared" si="8"/>
        <v>-1</v>
      </c>
      <c r="I169" s="110">
        <f t="shared" si="17"/>
        <v>1</v>
      </c>
      <c r="J169" s="110">
        <f t="shared" si="9"/>
        <v>0</v>
      </c>
      <c r="K169" s="110" t="str">
        <f>LOOKUP(G23,squad!$B$18:$B$59,squad!$G$18:$G$59)</f>
        <v> </v>
      </c>
      <c r="L169" s="110"/>
      <c r="M169" s="107">
        <f t="shared" si="3"/>
        <v>0</v>
      </c>
      <c r="N169" s="110">
        <f t="shared" si="10"/>
        <v>-1</v>
      </c>
      <c r="O169" s="110">
        <f t="shared" si="18"/>
        <v>1</v>
      </c>
      <c r="P169" s="110">
        <f t="shared" si="11"/>
        <v>0</v>
      </c>
      <c r="Q169" s="110" t="str">
        <f>LOOKUP(M23,squad!$B$18:$B$59,squad!$G$18:$G$59)</f>
        <v> </v>
      </c>
      <c r="R169" s="110"/>
      <c r="S169" s="107">
        <f t="shared" si="4"/>
        <v>0</v>
      </c>
      <c r="T169" s="110">
        <f t="shared" si="12"/>
        <v>-1</v>
      </c>
      <c r="U169" s="110">
        <f t="shared" si="19"/>
        <v>1</v>
      </c>
      <c r="V169" s="110">
        <f t="shared" si="13"/>
        <v>0</v>
      </c>
      <c r="W169" s="110" t="str">
        <f>LOOKUP(S23,squad!$B$18:$B$59,squad!$G$18:$G$59)</f>
        <v> </v>
      </c>
      <c r="X169" s="111"/>
      <c r="Y169" s="107">
        <f t="shared" si="5"/>
        <v>0</v>
      </c>
      <c r="Z169" s="110">
        <f t="shared" si="14"/>
        <v>-1</v>
      </c>
      <c r="AA169" s="110">
        <f t="shared" si="20"/>
        <v>1</v>
      </c>
      <c r="AB169" s="110">
        <f t="shared" si="15"/>
        <v>0</v>
      </c>
      <c r="AC169" s="110" t="str">
        <f>LOOKUP(Y23,squad!$B$18:$B$59,squad!$G$18:$G$59)</f>
        <v> </v>
      </c>
      <c r="AD169" s="111"/>
    </row>
    <row r="170" spans="1:30" ht="12.75" hidden="1">
      <c r="A170" s="107">
        <f t="shared" si="1"/>
        <v>0</v>
      </c>
      <c r="B170" s="110">
        <f t="shared" si="6"/>
        <v>-1</v>
      </c>
      <c r="C170" s="110">
        <f t="shared" si="16"/>
        <v>1</v>
      </c>
      <c r="D170" s="110">
        <f t="shared" si="7"/>
        <v>0</v>
      </c>
      <c r="E170" s="110" t="str">
        <f>LOOKUP(A24,squad!$B$18:$B$59,squad!$G$18:$G$59)</f>
        <v> </v>
      </c>
      <c r="F170" s="110"/>
      <c r="G170" s="107">
        <f t="shared" si="2"/>
        <v>0</v>
      </c>
      <c r="H170" s="110">
        <f t="shared" si="8"/>
        <v>-1</v>
      </c>
      <c r="I170" s="110">
        <f t="shared" si="17"/>
        <v>1</v>
      </c>
      <c r="J170" s="110">
        <f t="shared" si="9"/>
        <v>0</v>
      </c>
      <c r="K170" s="110" t="str">
        <f>LOOKUP(G24,squad!$B$18:$B$59,squad!$G$18:$G$59)</f>
        <v> </v>
      </c>
      <c r="L170" s="110"/>
      <c r="M170" s="107">
        <f t="shared" si="3"/>
        <v>0</v>
      </c>
      <c r="N170" s="110">
        <f t="shared" si="10"/>
        <v>-1</v>
      </c>
      <c r="O170" s="110">
        <f t="shared" si="18"/>
        <v>1</v>
      </c>
      <c r="P170" s="110">
        <f t="shared" si="11"/>
        <v>0</v>
      </c>
      <c r="Q170" s="110" t="str">
        <f>LOOKUP(M24,squad!$B$18:$B$59,squad!$G$18:$G$59)</f>
        <v> </v>
      </c>
      <c r="R170" s="110"/>
      <c r="S170" s="107">
        <f t="shared" si="4"/>
        <v>0</v>
      </c>
      <c r="T170" s="110">
        <f t="shared" si="12"/>
        <v>-1</v>
      </c>
      <c r="U170" s="110">
        <f t="shared" si="19"/>
        <v>1</v>
      </c>
      <c r="V170" s="110">
        <f t="shared" si="13"/>
        <v>0</v>
      </c>
      <c r="W170" s="110" t="str">
        <f>LOOKUP(S24,squad!$B$18:$B$59,squad!$G$18:$G$59)</f>
        <v> </v>
      </c>
      <c r="X170" s="111"/>
      <c r="Y170" s="107">
        <f t="shared" si="5"/>
        <v>0</v>
      </c>
      <c r="Z170" s="110">
        <f t="shared" si="14"/>
        <v>-1</v>
      </c>
      <c r="AA170" s="110">
        <f t="shared" si="20"/>
        <v>1</v>
      </c>
      <c r="AB170" s="110">
        <f t="shared" si="15"/>
        <v>0</v>
      </c>
      <c r="AC170" s="110" t="str">
        <f>LOOKUP(Y24,squad!$B$18:$B$59,squad!$G$18:$G$59)</f>
        <v> </v>
      </c>
      <c r="AD170" s="111"/>
    </row>
    <row r="171" spans="1:30" ht="12.75" hidden="1">
      <c r="A171" s="107">
        <f t="shared" si="1"/>
        <v>0</v>
      </c>
      <c r="B171" s="110">
        <f aca="true" t="shared" si="21" ref="B171:B176">IF(A171="MF",0,IF(A171="LK",0,IF(A171="DF/MF",0,IF(A171="MF/FW",0,IF(A171="MLM",0,IF(A171="UT",0,IF(A171="SUT",0,-1)))))))</f>
        <v>-1</v>
      </c>
      <c r="C171" s="110">
        <f t="shared" si="16"/>
        <v>1</v>
      </c>
      <c r="D171" s="110">
        <f>IF(A163="GS",3,0)</f>
        <v>0</v>
      </c>
      <c r="E171" s="110"/>
      <c r="F171" s="110"/>
      <c r="G171" s="107">
        <f t="shared" si="2"/>
        <v>0</v>
      </c>
      <c r="H171" s="110">
        <f aca="true" t="shared" si="22" ref="H171:H176">IF(G171="MF",0,IF(G171="LK",0,IF(G171="DF/MF",0,IF(G171="MF/FW",0,IF(G171="MLM",0,IF(G171="UT",0,IF(G171="SUT",0,-1)))))))</f>
        <v>-1</v>
      </c>
      <c r="I171" s="110">
        <f t="shared" si="17"/>
        <v>1</v>
      </c>
      <c r="J171" s="110">
        <f>IF(G163="GS",3,0)</f>
        <v>0</v>
      </c>
      <c r="K171" s="110"/>
      <c r="L171" s="110"/>
      <c r="M171" s="107">
        <f t="shared" si="3"/>
        <v>0</v>
      </c>
      <c r="N171" s="110">
        <f aca="true" t="shared" si="23" ref="N171:N176">IF(M171="MF",0,IF(M171="LK",0,IF(M171="DF/MF",0,IF(M171="MF/FW",0,IF(M171="MLM",0,IF(M171="UT",0,IF(M171="SUT",0,-1)))))))</f>
        <v>-1</v>
      </c>
      <c r="O171" s="110">
        <f t="shared" si="18"/>
        <v>1</v>
      </c>
      <c r="P171" s="110">
        <f>IF(M163="GS",3,0)</f>
        <v>0</v>
      </c>
      <c r="Q171" s="110"/>
      <c r="R171" s="110"/>
      <c r="S171" s="107">
        <f t="shared" si="4"/>
        <v>0</v>
      </c>
      <c r="T171" s="110">
        <f aca="true" t="shared" si="24" ref="T171:T176">IF(S171="MF",0,IF(S171="LK",0,IF(S171="DF/MF",0,IF(S171="MF/FW",0,IF(S171="MLM",0,IF(S171="UT",0,IF(S171="SUT",0,-1)))))))</f>
        <v>-1</v>
      </c>
      <c r="U171" s="110">
        <f t="shared" si="19"/>
        <v>1</v>
      </c>
      <c r="V171" s="110">
        <f>IF(S163="GS",3,0)</f>
        <v>0</v>
      </c>
      <c r="W171" s="110"/>
      <c r="X171" s="111"/>
      <c r="Y171" s="107">
        <f t="shared" si="5"/>
        <v>0</v>
      </c>
      <c r="Z171" s="110">
        <f aca="true" t="shared" si="25" ref="Z171:Z176">IF(Y171="MF",0,IF(Y171="LK",0,IF(Y171="DF/MF",0,IF(Y171="MF/FW",0,IF(Y171="MLM",0,IF(Y171="UT",0,IF(Y171="SUT",0,-1)))))))</f>
        <v>-1</v>
      </c>
      <c r="AA171" s="110">
        <f t="shared" si="20"/>
        <v>1</v>
      </c>
      <c r="AB171" s="110">
        <f>IF(Y163="GS",3,0)</f>
        <v>0</v>
      </c>
      <c r="AC171" s="110"/>
      <c r="AD171" s="111"/>
    </row>
    <row r="172" spans="1:30" ht="12.75" hidden="1">
      <c r="A172" s="107">
        <f t="shared" si="1"/>
        <v>0</v>
      </c>
      <c r="B172" s="110">
        <f t="shared" si="21"/>
        <v>-1</v>
      </c>
      <c r="C172" s="110">
        <f t="shared" si="16"/>
        <v>1</v>
      </c>
      <c r="D172" s="110"/>
      <c r="E172" s="110"/>
      <c r="F172" s="110"/>
      <c r="G172" s="107">
        <f t="shared" si="2"/>
        <v>0</v>
      </c>
      <c r="H172" s="110">
        <f t="shared" si="22"/>
        <v>-1</v>
      </c>
      <c r="I172" s="110">
        <f t="shared" si="17"/>
        <v>1</v>
      </c>
      <c r="J172" s="110"/>
      <c r="K172" s="110"/>
      <c r="L172" s="110"/>
      <c r="M172" s="107">
        <f t="shared" si="3"/>
        <v>0</v>
      </c>
      <c r="N172" s="110">
        <f t="shared" si="23"/>
        <v>-1</v>
      </c>
      <c r="O172" s="110">
        <f t="shared" si="18"/>
        <v>1</v>
      </c>
      <c r="P172" s="110"/>
      <c r="Q172" s="110"/>
      <c r="R172" s="110"/>
      <c r="S172" s="107">
        <f t="shared" si="4"/>
        <v>0</v>
      </c>
      <c r="T172" s="110">
        <f t="shared" si="24"/>
        <v>-1</v>
      </c>
      <c r="U172" s="110">
        <f t="shared" si="19"/>
        <v>1</v>
      </c>
      <c r="V172" s="110"/>
      <c r="W172" s="110"/>
      <c r="X172" s="111"/>
      <c r="Y172" s="107">
        <f t="shared" si="5"/>
        <v>0</v>
      </c>
      <c r="Z172" s="110">
        <f t="shared" si="25"/>
        <v>-1</v>
      </c>
      <c r="AA172" s="110">
        <f t="shared" si="20"/>
        <v>1</v>
      </c>
      <c r="AB172" s="110"/>
      <c r="AC172" s="110"/>
      <c r="AD172" s="111"/>
    </row>
    <row r="173" spans="1:30" ht="12.75" hidden="1">
      <c r="A173" s="107">
        <f t="shared" si="1"/>
        <v>0</v>
      </c>
      <c r="B173" s="110">
        <f t="shared" si="21"/>
        <v>-1</v>
      </c>
      <c r="C173" s="110">
        <f t="shared" si="16"/>
        <v>1</v>
      </c>
      <c r="D173" s="110"/>
      <c r="E173" s="110"/>
      <c r="F173" s="110"/>
      <c r="G173" s="107">
        <f t="shared" si="2"/>
        <v>0</v>
      </c>
      <c r="H173" s="110">
        <f t="shared" si="22"/>
        <v>-1</v>
      </c>
      <c r="I173" s="110">
        <f t="shared" si="17"/>
        <v>1</v>
      </c>
      <c r="J173" s="110"/>
      <c r="K173" s="110"/>
      <c r="L173" s="110"/>
      <c r="M173" s="107">
        <f t="shared" si="3"/>
        <v>0</v>
      </c>
      <c r="N173" s="110">
        <f t="shared" si="23"/>
        <v>-1</v>
      </c>
      <c r="O173" s="110">
        <f t="shared" si="18"/>
        <v>1</v>
      </c>
      <c r="P173" s="110"/>
      <c r="Q173" s="110"/>
      <c r="R173" s="110"/>
      <c r="S173" s="107">
        <f t="shared" si="4"/>
        <v>0</v>
      </c>
      <c r="T173" s="110">
        <f t="shared" si="24"/>
        <v>-1</v>
      </c>
      <c r="U173" s="110">
        <f t="shared" si="19"/>
        <v>1</v>
      </c>
      <c r="V173" s="110"/>
      <c r="W173" s="110"/>
      <c r="X173" s="111"/>
      <c r="Y173" s="107">
        <f t="shared" si="5"/>
        <v>0</v>
      </c>
      <c r="Z173" s="110">
        <f t="shared" si="25"/>
        <v>-1</v>
      </c>
      <c r="AA173" s="110">
        <f t="shared" si="20"/>
        <v>1</v>
      </c>
      <c r="AB173" s="110"/>
      <c r="AC173" s="110"/>
      <c r="AD173" s="111"/>
    </row>
    <row r="174" spans="1:30" ht="12.75" hidden="1">
      <c r="A174" s="107">
        <f t="shared" si="1"/>
        <v>0</v>
      </c>
      <c r="B174" s="110">
        <f t="shared" si="21"/>
        <v>-1</v>
      </c>
      <c r="C174" s="110">
        <f t="shared" si="16"/>
        <v>1</v>
      </c>
      <c r="D174" s="110"/>
      <c r="E174" s="110"/>
      <c r="F174" s="110"/>
      <c r="G174" s="107">
        <f t="shared" si="2"/>
        <v>0</v>
      </c>
      <c r="H174" s="110">
        <f t="shared" si="22"/>
        <v>-1</v>
      </c>
      <c r="I174" s="110">
        <f t="shared" si="17"/>
        <v>1</v>
      </c>
      <c r="J174" s="110"/>
      <c r="K174" s="110"/>
      <c r="L174" s="110"/>
      <c r="M174" s="107">
        <f t="shared" si="3"/>
        <v>0</v>
      </c>
      <c r="N174" s="110">
        <f t="shared" si="23"/>
        <v>-1</v>
      </c>
      <c r="O174" s="110">
        <f t="shared" si="18"/>
        <v>1</v>
      </c>
      <c r="P174" s="110"/>
      <c r="Q174" s="110"/>
      <c r="R174" s="110"/>
      <c r="S174" s="107">
        <f t="shared" si="4"/>
        <v>0</v>
      </c>
      <c r="T174" s="110">
        <f t="shared" si="24"/>
        <v>-1</v>
      </c>
      <c r="U174" s="110">
        <f t="shared" si="19"/>
        <v>1</v>
      </c>
      <c r="V174" s="110"/>
      <c r="W174" s="110"/>
      <c r="X174" s="111"/>
      <c r="Y174" s="107">
        <f t="shared" si="5"/>
        <v>0</v>
      </c>
      <c r="Z174" s="110">
        <f t="shared" si="25"/>
        <v>-1</v>
      </c>
      <c r="AA174" s="110">
        <f t="shared" si="20"/>
        <v>1</v>
      </c>
      <c r="AB174" s="110"/>
      <c r="AC174" s="110"/>
      <c r="AD174" s="111"/>
    </row>
    <row r="175" spans="1:30" ht="12.75" hidden="1">
      <c r="A175" s="107">
        <f t="shared" si="1"/>
        <v>0</v>
      </c>
      <c r="B175" s="110">
        <f t="shared" si="21"/>
        <v>-1</v>
      </c>
      <c r="C175" s="110">
        <f t="shared" si="16"/>
        <v>1</v>
      </c>
      <c r="D175" s="110"/>
      <c r="E175" s="110"/>
      <c r="F175" s="110"/>
      <c r="G175" s="107">
        <f t="shared" si="2"/>
        <v>0</v>
      </c>
      <c r="H175" s="110">
        <f t="shared" si="22"/>
        <v>-1</v>
      </c>
      <c r="I175" s="110">
        <f t="shared" si="17"/>
        <v>1</v>
      </c>
      <c r="J175" s="110"/>
      <c r="K175" s="110"/>
      <c r="L175" s="110"/>
      <c r="M175" s="107">
        <f t="shared" si="3"/>
        <v>0</v>
      </c>
      <c r="N175" s="110">
        <f t="shared" si="23"/>
        <v>-1</v>
      </c>
      <c r="O175" s="110">
        <f t="shared" si="18"/>
        <v>1</v>
      </c>
      <c r="P175" s="110"/>
      <c r="Q175" s="110"/>
      <c r="R175" s="110"/>
      <c r="S175" s="107">
        <f t="shared" si="4"/>
        <v>0</v>
      </c>
      <c r="T175" s="110">
        <f t="shared" si="24"/>
        <v>-1</v>
      </c>
      <c r="U175" s="110">
        <f t="shared" si="19"/>
        <v>1</v>
      </c>
      <c r="V175" s="110"/>
      <c r="W175" s="110"/>
      <c r="X175" s="111"/>
      <c r="Y175" s="107">
        <f t="shared" si="5"/>
        <v>0</v>
      </c>
      <c r="Z175" s="110">
        <f t="shared" si="25"/>
        <v>-1</v>
      </c>
      <c r="AA175" s="110">
        <f t="shared" si="20"/>
        <v>1</v>
      </c>
      <c r="AB175" s="110"/>
      <c r="AC175" s="110"/>
      <c r="AD175" s="111"/>
    </row>
    <row r="176" spans="1:30" ht="12.75" hidden="1">
      <c r="A176" s="107">
        <f t="shared" si="1"/>
        <v>0</v>
      </c>
      <c r="B176" s="110">
        <f t="shared" si="21"/>
        <v>-1</v>
      </c>
      <c r="C176" s="110">
        <f t="shared" si="16"/>
        <v>1</v>
      </c>
      <c r="D176" s="110"/>
      <c r="E176" s="110"/>
      <c r="F176" s="110"/>
      <c r="G176" s="107">
        <f t="shared" si="2"/>
        <v>0</v>
      </c>
      <c r="H176" s="110">
        <f t="shared" si="22"/>
        <v>-1</v>
      </c>
      <c r="I176" s="110">
        <f t="shared" si="17"/>
        <v>1</v>
      </c>
      <c r="J176" s="110"/>
      <c r="K176" s="110"/>
      <c r="L176" s="110"/>
      <c r="M176" s="107">
        <f t="shared" si="3"/>
        <v>0</v>
      </c>
      <c r="N176" s="110">
        <f t="shared" si="23"/>
        <v>-1</v>
      </c>
      <c r="O176" s="110">
        <f t="shared" si="18"/>
        <v>1</v>
      </c>
      <c r="P176" s="110"/>
      <c r="Q176" s="110"/>
      <c r="R176" s="110"/>
      <c r="S176" s="107">
        <f t="shared" si="4"/>
        <v>0</v>
      </c>
      <c r="T176" s="110">
        <f t="shared" si="24"/>
        <v>-1</v>
      </c>
      <c r="U176" s="110">
        <f t="shared" si="19"/>
        <v>1</v>
      </c>
      <c r="V176" s="110"/>
      <c r="W176" s="110"/>
      <c r="X176" s="111"/>
      <c r="Y176" s="107">
        <f t="shared" si="5"/>
        <v>0</v>
      </c>
      <c r="Z176" s="110">
        <f t="shared" si="25"/>
        <v>-1</v>
      </c>
      <c r="AA176" s="110">
        <f t="shared" si="20"/>
        <v>1</v>
      </c>
      <c r="AB176" s="110"/>
      <c r="AC176" s="110"/>
      <c r="AD176" s="111"/>
    </row>
    <row r="177" spans="1:37" ht="12.75" hidden="1">
      <c r="A177" s="107">
        <f t="shared" si="1"/>
        <v>0</v>
      </c>
      <c r="B177" s="110">
        <f aca="true" t="shared" si="26" ref="B177:B182">IF(A177="FW",0,IF(A177="FW",0,IF(A177="DF/FW",0,IF(A177="MF/FW",0,IF(A177="WG",0,IF(A177="UT",0,IF(A177="SUT",0,-1)))))))</f>
        <v>-1</v>
      </c>
      <c r="C177" s="110">
        <f t="shared" si="16"/>
        <v>1</v>
      </c>
      <c r="D177" s="110">
        <f aca="true" t="shared" si="27" ref="D177:D182">IF(A177="LS",INT(F31*0.5),0)</f>
        <v>0</v>
      </c>
      <c r="E177" s="110"/>
      <c r="F177" s="110"/>
      <c r="G177" s="107">
        <f t="shared" si="2"/>
        <v>0</v>
      </c>
      <c r="H177" s="110">
        <f aca="true" t="shared" si="28" ref="H177:H182">IF(G177="FW",0,IF(G177="FW",0,IF(G177="DF/FW",0,IF(G177="MF/FW",0,IF(G177="WG",0,IF(G177="UT",0,IF(G177="SUT",0,-1)))))))</f>
        <v>-1</v>
      </c>
      <c r="I177" s="110">
        <f t="shared" si="17"/>
        <v>1</v>
      </c>
      <c r="J177" s="110">
        <f aca="true" t="shared" si="29" ref="J177:J182">IF(G177="LS",INT(L31*0.5),0)</f>
        <v>0</v>
      </c>
      <c r="K177" s="110"/>
      <c r="L177" s="110"/>
      <c r="M177" s="107">
        <f t="shared" si="3"/>
        <v>0</v>
      </c>
      <c r="N177" s="110">
        <f aca="true" t="shared" si="30" ref="N177:N182">IF(M177="FW",0,IF(M177="FW",0,IF(M177="DF/FW",0,IF(M177="MF/FW",0,IF(M177="WG",0,IF(M177="UT",0,IF(M177="SUT",0,-1)))))))</f>
        <v>-1</v>
      </c>
      <c r="O177" s="110">
        <f t="shared" si="18"/>
        <v>1</v>
      </c>
      <c r="P177" s="110">
        <f aca="true" t="shared" si="31" ref="P177:P182">IF(M177="LS",INT(R31*0.5),0)</f>
        <v>0</v>
      </c>
      <c r="Q177" s="110"/>
      <c r="R177" s="110"/>
      <c r="S177" s="107">
        <f t="shared" si="4"/>
        <v>0</v>
      </c>
      <c r="T177" s="110">
        <f aca="true" t="shared" si="32" ref="T177:T182">IF(S177="FW",0,IF(S177="FW",0,IF(S177="DF/FW",0,IF(S177="MF/FW",0,IF(S177="WG",0,IF(S177="UT",0,IF(S177="SUT",0,-1)))))))</f>
        <v>-1</v>
      </c>
      <c r="U177" s="110">
        <f t="shared" si="19"/>
        <v>1</v>
      </c>
      <c r="V177" s="110">
        <f aca="true" t="shared" si="33" ref="V177:V182">IF(S177="LS",INT(X31*0.5),0)</f>
        <v>0</v>
      </c>
      <c r="W177" s="110"/>
      <c r="X177" s="111"/>
      <c r="Y177" s="107">
        <f t="shared" si="5"/>
        <v>0</v>
      </c>
      <c r="Z177" s="110">
        <f aca="true" t="shared" si="34" ref="Z177:Z182">IF(Y177="FW",0,IF(Y177="FW",0,IF(Y177="DF/FW",0,IF(Y177="MF/FW",0,IF(Y177="WG",0,IF(Y177="UT",0,IF(Y177="SUT",0,-1)))))))</f>
        <v>-1</v>
      </c>
      <c r="AA177" s="110">
        <f t="shared" si="20"/>
        <v>1</v>
      </c>
      <c r="AB177" s="110">
        <f aca="true" t="shared" si="35" ref="AB177:AB182">IF(Y177="LS",INT(AD31*0.5),0)</f>
        <v>0</v>
      </c>
      <c r="AC177" s="110"/>
      <c r="AD177" s="111"/>
      <c r="AG177" s="23">
        <f>IF(AM20&gt;1,SUM(D177:D182),0)</f>
        <v>0</v>
      </c>
      <c r="AH177" s="23">
        <f>IF(AN20&gt;1,SUM(J177:J182),0)</f>
        <v>0</v>
      </c>
      <c r="AI177" s="23">
        <f>IF(AO20&gt;1,SUM(P177:P182),0)</f>
        <v>0</v>
      </c>
      <c r="AJ177" s="23">
        <f>IF(AP20&gt;1,SUM(V177:V182),0)</f>
        <v>0</v>
      </c>
      <c r="AK177" s="23">
        <f>IF(AQ20&gt;1,SUM(AB177:AB182),0)</f>
        <v>0</v>
      </c>
    </row>
    <row r="178" spans="1:30" ht="12.75" hidden="1">
      <c r="A178" s="107">
        <f t="shared" si="1"/>
        <v>0</v>
      </c>
      <c r="B178" s="110">
        <f t="shared" si="26"/>
        <v>-1</v>
      </c>
      <c r="C178" s="110">
        <f t="shared" si="16"/>
        <v>1</v>
      </c>
      <c r="D178" s="110">
        <f t="shared" si="27"/>
        <v>0</v>
      </c>
      <c r="E178" s="110"/>
      <c r="F178" s="110"/>
      <c r="G178" s="107">
        <f t="shared" si="2"/>
        <v>0</v>
      </c>
      <c r="H178" s="110">
        <f t="shared" si="28"/>
        <v>-1</v>
      </c>
      <c r="I178" s="110">
        <f t="shared" si="17"/>
        <v>1</v>
      </c>
      <c r="J178" s="110">
        <f t="shared" si="29"/>
        <v>0</v>
      </c>
      <c r="K178" s="110"/>
      <c r="L178" s="110"/>
      <c r="M178" s="107">
        <f t="shared" si="3"/>
        <v>0</v>
      </c>
      <c r="N178" s="110">
        <f t="shared" si="30"/>
        <v>-1</v>
      </c>
      <c r="O178" s="110">
        <f t="shared" si="18"/>
        <v>1</v>
      </c>
      <c r="P178" s="110">
        <f t="shared" si="31"/>
        <v>0</v>
      </c>
      <c r="Q178" s="110"/>
      <c r="R178" s="110"/>
      <c r="S178" s="107">
        <f t="shared" si="4"/>
        <v>0</v>
      </c>
      <c r="T178" s="110">
        <f t="shared" si="32"/>
        <v>-1</v>
      </c>
      <c r="U178" s="110">
        <f t="shared" si="19"/>
        <v>1</v>
      </c>
      <c r="V178" s="110">
        <f t="shared" si="33"/>
        <v>0</v>
      </c>
      <c r="W178" s="110"/>
      <c r="X178" s="111"/>
      <c r="Y178" s="107">
        <f t="shared" si="5"/>
        <v>0</v>
      </c>
      <c r="Z178" s="110">
        <f t="shared" si="34"/>
        <v>-1</v>
      </c>
      <c r="AA178" s="110">
        <f t="shared" si="20"/>
        <v>1</v>
      </c>
      <c r="AB178" s="110">
        <f t="shared" si="35"/>
        <v>0</v>
      </c>
      <c r="AC178" s="110"/>
      <c r="AD178" s="111"/>
    </row>
    <row r="179" spans="1:30" ht="12.75" hidden="1">
      <c r="A179" s="107">
        <f t="shared" si="1"/>
        <v>0</v>
      </c>
      <c r="B179" s="110">
        <f t="shared" si="26"/>
        <v>-1</v>
      </c>
      <c r="C179" s="110">
        <f t="shared" si="16"/>
        <v>1</v>
      </c>
      <c r="D179" s="110">
        <f t="shared" si="27"/>
        <v>0</v>
      </c>
      <c r="E179" s="110"/>
      <c r="F179" s="110"/>
      <c r="G179" s="107">
        <f t="shared" si="2"/>
        <v>0</v>
      </c>
      <c r="H179" s="110">
        <f t="shared" si="28"/>
        <v>-1</v>
      </c>
      <c r="I179" s="110">
        <f t="shared" si="17"/>
        <v>1</v>
      </c>
      <c r="J179" s="110">
        <f t="shared" si="29"/>
        <v>0</v>
      </c>
      <c r="K179" s="110"/>
      <c r="L179" s="110"/>
      <c r="M179" s="107">
        <f t="shared" si="3"/>
        <v>0</v>
      </c>
      <c r="N179" s="110">
        <f t="shared" si="30"/>
        <v>-1</v>
      </c>
      <c r="O179" s="110">
        <f t="shared" si="18"/>
        <v>1</v>
      </c>
      <c r="P179" s="110">
        <f t="shared" si="31"/>
        <v>0</v>
      </c>
      <c r="Q179" s="110"/>
      <c r="R179" s="110"/>
      <c r="S179" s="107">
        <f t="shared" si="4"/>
        <v>0</v>
      </c>
      <c r="T179" s="110">
        <f t="shared" si="32"/>
        <v>-1</v>
      </c>
      <c r="U179" s="110">
        <f t="shared" si="19"/>
        <v>1</v>
      </c>
      <c r="V179" s="110">
        <f t="shared" si="33"/>
        <v>0</v>
      </c>
      <c r="W179" s="110"/>
      <c r="X179" s="111"/>
      <c r="Y179" s="107">
        <f t="shared" si="5"/>
        <v>0</v>
      </c>
      <c r="Z179" s="110">
        <f t="shared" si="34"/>
        <v>-1</v>
      </c>
      <c r="AA179" s="110">
        <f t="shared" si="20"/>
        <v>1</v>
      </c>
      <c r="AB179" s="110">
        <f t="shared" si="35"/>
        <v>0</v>
      </c>
      <c r="AC179" s="110"/>
      <c r="AD179" s="111"/>
    </row>
    <row r="180" spans="1:30" ht="12.75" hidden="1">
      <c r="A180" s="107">
        <f t="shared" si="1"/>
        <v>0</v>
      </c>
      <c r="B180" s="110">
        <f t="shared" si="26"/>
        <v>-1</v>
      </c>
      <c r="C180" s="110">
        <f t="shared" si="16"/>
        <v>1</v>
      </c>
      <c r="D180" s="110">
        <f t="shared" si="27"/>
        <v>0</v>
      </c>
      <c r="E180" s="110"/>
      <c r="F180" s="110"/>
      <c r="G180" s="107">
        <f t="shared" si="2"/>
        <v>0</v>
      </c>
      <c r="H180" s="110">
        <f t="shared" si="28"/>
        <v>-1</v>
      </c>
      <c r="I180" s="110">
        <f t="shared" si="17"/>
        <v>1</v>
      </c>
      <c r="J180" s="110">
        <f t="shared" si="29"/>
        <v>0</v>
      </c>
      <c r="K180" s="110"/>
      <c r="L180" s="110"/>
      <c r="M180" s="107">
        <f t="shared" si="3"/>
        <v>0</v>
      </c>
      <c r="N180" s="110">
        <f t="shared" si="30"/>
        <v>-1</v>
      </c>
      <c r="O180" s="110">
        <f t="shared" si="18"/>
        <v>1</v>
      </c>
      <c r="P180" s="110">
        <f t="shared" si="31"/>
        <v>0</v>
      </c>
      <c r="Q180" s="110"/>
      <c r="R180" s="110"/>
      <c r="S180" s="107">
        <f t="shared" si="4"/>
        <v>0</v>
      </c>
      <c r="T180" s="110">
        <f t="shared" si="32"/>
        <v>-1</v>
      </c>
      <c r="U180" s="110">
        <f t="shared" si="19"/>
        <v>1</v>
      </c>
      <c r="V180" s="110">
        <f t="shared" si="33"/>
        <v>0</v>
      </c>
      <c r="W180" s="110"/>
      <c r="X180" s="111"/>
      <c r="Y180" s="107">
        <f t="shared" si="5"/>
        <v>0</v>
      </c>
      <c r="Z180" s="110">
        <f t="shared" si="34"/>
        <v>-1</v>
      </c>
      <c r="AA180" s="110">
        <f t="shared" si="20"/>
        <v>1</v>
      </c>
      <c r="AB180" s="110">
        <f t="shared" si="35"/>
        <v>0</v>
      </c>
      <c r="AC180" s="110"/>
      <c r="AD180" s="111"/>
    </row>
    <row r="181" spans="1:30" ht="12.75" hidden="1">
      <c r="A181" s="107">
        <f t="shared" si="1"/>
        <v>0</v>
      </c>
      <c r="B181" s="110">
        <f t="shared" si="26"/>
        <v>-1</v>
      </c>
      <c r="C181" s="110">
        <f t="shared" si="16"/>
        <v>1</v>
      </c>
      <c r="D181" s="110">
        <f t="shared" si="27"/>
        <v>0</v>
      </c>
      <c r="E181" s="110"/>
      <c r="F181" s="110"/>
      <c r="G181" s="107">
        <f t="shared" si="2"/>
        <v>0</v>
      </c>
      <c r="H181" s="110">
        <f t="shared" si="28"/>
        <v>-1</v>
      </c>
      <c r="I181" s="110">
        <f t="shared" si="17"/>
        <v>1</v>
      </c>
      <c r="J181" s="110">
        <f t="shared" si="29"/>
        <v>0</v>
      </c>
      <c r="K181" s="110"/>
      <c r="L181" s="110"/>
      <c r="M181" s="107">
        <f t="shared" si="3"/>
        <v>0</v>
      </c>
      <c r="N181" s="110">
        <f t="shared" si="30"/>
        <v>-1</v>
      </c>
      <c r="O181" s="110">
        <f t="shared" si="18"/>
        <v>1</v>
      </c>
      <c r="P181" s="110">
        <f t="shared" si="31"/>
        <v>0</v>
      </c>
      <c r="Q181" s="110"/>
      <c r="R181" s="110"/>
      <c r="S181" s="107">
        <f t="shared" si="4"/>
        <v>0</v>
      </c>
      <c r="T181" s="110">
        <f t="shared" si="32"/>
        <v>-1</v>
      </c>
      <c r="U181" s="110">
        <f t="shared" si="19"/>
        <v>1</v>
      </c>
      <c r="V181" s="110">
        <f t="shared" si="33"/>
        <v>0</v>
      </c>
      <c r="W181" s="110"/>
      <c r="X181" s="111"/>
      <c r="Y181" s="107">
        <f t="shared" si="5"/>
        <v>0</v>
      </c>
      <c r="Z181" s="110">
        <f t="shared" si="34"/>
        <v>-1</v>
      </c>
      <c r="AA181" s="110">
        <f t="shared" si="20"/>
        <v>1</v>
      </c>
      <c r="AB181" s="110">
        <f t="shared" si="35"/>
        <v>0</v>
      </c>
      <c r="AC181" s="110"/>
      <c r="AD181" s="111"/>
    </row>
    <row r="182" spans="1:30" ht="12.75" hidden="1">
      <c r="A182" s="107">
        <f t="shared" si="1"/>
        <v>0</v>
      </c>
      <c r="B182" s="110">
        <f t="shared" si="26"/>
        <v>-1</v>
      </c>
      <c r="C182" s="110">
        <f t="shared" si="16"/>
        <v>1</v>
      </c>
      <c r="D182" s="110">
        <f t="shared" si="27"/>
        <v>0</v>
      </c>
      <c r="E182" s="110"/>
      <c r="F182" s="110"/>
      <c r="G182" s="107">
        <f t="shared" si="2"/>
        <v>0</v>
      </c>
      <c r="H182" s="110">
        <f t="shared" si="28"/>
        <v>-1</v>
      </c>
      <c r="I182" s="110">
        <f t="shared" si="17"/>
        <v>1</v>
      </c>
      <c r="J182" s="110">
        <f t="shared" si="29"/>
        <v>0</v>
      </c>
      <c r="K182" s="110"/>
      <c r="L182" s="110"/>
      <c r="M182" s="107">
        <f t="shared" si="3"/>
        <v>0</v>
      </c>
      <c r="N182" s="110">
        <f t="shared" si="30"/>
        <v>-1</v>
      </c>
      <c r="O182" s="110">
        <f t="shared" si="18"/>
        <v>1</v>
      </c>
      <c r="P182" s="110">
        <f t="shared" si="31"/>
        <v>0</v>
      </c>
      <c r="Q182" s="110"/>
      <c r="R182" s="110"/>
      <c r="S182" s="107">
        <f t="shared" si="4"/>
        <v>0</v>
      </c>
      <c r="T182" s="110">
        <f t="shared" si="32"/>
        <v>-1</v>
      </c>
      <c r="U182" s="110">
        <f t="shared" si="19"/>
        <v>1</v>
      </c>
      <c r="V182" s="110">
        <f t="shared" si="33"/>
        <v>0</v>
      </c>
      <c r="W182" s="110"/>
      <c r="X182" s="111"/>
      <c r="Y182" s="107">
        <f t="shared" si="5"/>
        <v>0</v>
      </c>
      <c r="Z182" s="110">
        <f t="shared" si="34"/>
        <v>-1</v>
      </c>
      <c r="AA182" s="110">
        <f t="shared" si="20"/>
        <v>1</v>
      </c>
      <c r="AB182" s="110">
        <f t="shared" si="35"/>
        <v>0</v>
      </c>
      <c r="AC182" s="110"/>
      <c r="AD182" s="111"/>
    </row>
    <row r="183" spans="1:30" ht="12.75" hidden="1">
      <c r="A183" s="112" t="s">
        <v>12</v>
      </c>
      <c r="B183" s="110">
        <f aca="true" t="shared" si="36" ref="B183:B188">IF(A165="SW",1,0)</f>
        <v>0</v>
      </c>
      <c r="C183" s="110">
        <f aca="true" t="shared" si="37" ref="C183:C188">IF(A171="LK",F25,0)</f>
        <v>0</v>
      </c>
      <c r="D183" s="110"/>
      <c r="E183" s="110"/>
      <c r="F183" s="110"/>
      <c r="G183" s="112" t="s">
        <v>12</v>
      </c>
      <c r="H183" s="110">
        <f aca="true" t="shared" si="38" ref="H183:H188">IF(G165="SW",1,0)</f>
        <v>0</v>
      </c>
      <c r="I183" s="110">
        <f aca="true" t="shared" si="39" ref="I183:I188">IF(G171="LK",L25,0)</f>
        <v>0</v>
      </c>
      <c r="J183" s="110"/>
      <c r="K183" s="110"/>
      <c r="L183" s="110"/>
      <c r="M183" s="112" t="s">
        <v>12</v>
      </c>
      <c r="N183" s="110">
        <f aca="true" t="shared" si="40" ref="N183:N188">IF(M165="SW",1,0)</f>
        <v>0</v>
      </c>
      <c r="O183" s="110">
        <f aca="true" t="shared" si="41" ref="O183:O188">IF(M171="LK",R25,0)</f>
        <v>0</v>
      </c>
      <c r="P183" s="110"/>
      <c r="Q183" s="110"/>
      <c r="R183" s="110"/>
      <c r="S183" s="112" t="s">
        <v>12</v>
      </c>
      <c r="T183" s="110">
        <f aca="true" t="shared" si="42" ref="T183:T188">IF(S165="SW",1,0)</f>
        <v>0</v>
      </c>
      <c r="U183" s="110">
        <f aca="true" t="shared" si="43" ref="U183:U188">IF(S171="LK",X25,0)</f>
        <v>0</v>
      </c>
      <c r="V183" s="110"/>
      <c r="W183" s="110"/>
      <c r="X183" s="111"/>
      <c r="Y183" s="112" t="s">
        <v>12</v>
      </c>
      <c r="Z183" s="110">
        <f aca="true" t="shared" si="44" ref="Z183:Z188">IF(Y165="SW",1,0)</f>
        <v>0</v>
      </c>
      <c r="AA183" s="110">
        <f aca="true" t="shared" si="45" ref="AA183:AA188">IF(Y171="LK",AD25,0)</f>
        <v>0</v>
      </c>
      <c r="AB183" s="110"/>
      <c r="AC183" s="110"/>
      <c r="AD183" s="111"/>
    </row>
    <row r="184" spans="1:30" ht="12.75" hidden="1">
      <c r="A184" s="112" t="s">
        <v>12</v>
      </c>
      <c r="B184" s="110">
        <f t="shared" si="36"/>
        <v>0</v>
      </c>
      <c r="C184" s="110">
        <f t="shared" si="37"/>
        <v>0</v>
      </c>
      <c r="D184" s="110"/>
      <c r="E184" s="110"/>
      <c r="F184" s="110"/>
      <c r="G184" s="112" t="s">
        <v>12</v>
      </c>
      <c r="H184" s="110">
        <f t="shared" si="38"/>
        <v>0</v>
      </c>
      <c r="I184" s="110">
        <f t="shared" si="39"/>
        <v>0</v>
      </c>
      <c r="J184" s="110"/>
      <c r="K184" s="110"/>
      <c r="L184" s="110"/>
      <c r="M184" s="112" t="s">
        <v>12</v>
      </c>
      <c r="N184" s="110">
        <f t="shared" si="40"/>
        <v>0</v>
      </c>
      <c r="O184" s="110">
        <f t="shared" si="41"/>
        <v>0</v>
      </c>
      <c r="P184" s="110"/>
      <c r="Q184" s="110"/>
      <c r="R184" s="110"/>
      <c r="S184" s="112" t="s">
        <v>12</v>
      </c>
      <c r="T184" s="110">
        <f t="shared" si="42"/>
        <v>0</v>
      </c>
      <c r="U184" s="110">
        <f t="shared" si="43"/>
        <v>0</v>
      </c>
      <c r="V184" s="110"/>
      <c r="W184" s="110"/>
      <c r="X184" s="111"/>
      <c r="Y184" s="112" t="s">
        <v>12</v>
      </c>
      <c r="Z184" s="110">
        <f t="shared" si="44"/>
        <v>0</v>
      </c>
      <c r="AA184" s="110">
        <f t="shared" si="45"/>
        <v>0</v>
      </c>
      <c r="AB184" s="110"/>
      <c r="AC184" s="110"/>
      <c r="AD184" s="111"/>
    </row>
    <row r="185" spans="1:30" ht="12.75" hidden="1">
      <c r="A185" s="112" t="s">
        <v>12</v>
      </c>
      <c r="B185" s="110">
        <f t="shared" si="36"/>
        <v>0</v>
      </c>
      <c r="C185" s="110">
        <f t="shared" si="37"/>
        <v>0</v>
      </c>
      <c r="D185" s="110"/>
      <c r="E185" s="110"/>
      <c r="F185" s="110"/>
      <c r="G185" s="112" t="s">
        <v>12</v>
      </c>
      <c r="H185" s="110">
        <f t="shared" si="38"/>
        <v>0</v>
      </c>
      <c r="I185" s="110">
        <f t="shared" si="39"/>
        <v>0</v>
      </c>
      <c r="J185" s="110"/>
      <c r="K185" s="110"/>
      <c r="L185" s="110"/>
      <c r="M185" s="112" t="s">
        <v>12</v>
      </c>
      <c r="N185" s="110">
        <f t="shared" si="40"/>
        <v>0</v>
      </c>
      <c r="O185" s="110">
        <f t="shared" si="41"/>
        <v>0</v>
      </c>
      <c r="P185" s="110"/>
      <c r="Q185" s="110"/>
      <c r="R185" s="110"/>
      <c r="S185" s="112" t="s">
        <v>12</v>
      </c>
      <c r="T185" s="110">
        <f t="shared" si="42"/>
        <v>0</v>
      </c>
      <c r="U185" s="110">
        <f t="shared" si="43"/>
        <v>0</v>
      </c>
      <c r="V185" s="110"/>
      <c r="W185" s="110"/>
      <c r="X185" s="111"/>
      <c r="Y185" s="112" t="s">
        <v>12</v>
      </c>
      <c r="Z185" s="110">
        <f t="shared" si="44"/>
        <v>0</v>
      </c>
      <c r="AA185" s="110">
        <f t="shared" si="45"/>
        <v>0</v>
      </c>
      <c r="AB185" s="110"/>
      <c r="AC185" s="110"/>
      <c r="AD185" s="111"/>
    </row>
    <row r="186" spans="1:30" ht="12.75" hidden="1">
      <c r="A186" s="112" t="s">
        <v>12</v>
      </c>
      <c r="B186" s="110">
        <f t="shared" si="36"/>
        <v>0</v>
      </c>
      <c r="C186" s="110">
        <f t="shared" si="37"/>
        <v>0</v>
      </c>
      <c r="D186" s="110"/>
      <c r="E186" s="110"/>
      <c r="F186" s="110"/>
      <c r="G186" s="112" t="s">
        <v>12</v>
      </c>
      <c r="H186" s="110">
        <f t="shared" si="38"/>
        <v>0</v>
      </c>
      <c r="I186" s="110">
        <f t="shared" si="39"/>
        <v>0</v>
      </c>
      <c r="J186" s="110"/>
      <c r="K186" s="110"/>
      <c r="L186" s="110"/>
      <c r="M186" s="112" t="s">
        <v>12</v>
      </c>
      <c r="N186" s="110">
        <f t="shared" si="40"/>
        <v>0</v>
      </c>
      <c r="O186" s="110">
        <f t="shared" si="41"/>
        <v>0</v>
      </c>
      <c r="P186" s="110"/>
      <c r="Q186" s="110"/>
      <c r="R186" s="110"/>
      <c r="S186" s="112" t="s">
        <v>12</v>
      </c>
      <c r="T186" s="110">
        <f t="shared" si="42"/>
        <v>0</v>
      </c>
      <c r="U186" s="110">
        <f t="shared" si="43"/>
        <v>0</v>
      </c>
      <c r="V186" s="110"/>
      <c r="W186" s="110"/>
      <c r="X186" s="111"/>
      <c r="Y186" s="112" t="s">
        <v>12</v>
      </c>
      <c r="Z186" s="110">
        <f t="shared" si="44"/>
        <v>0</v>
      </c>
      <c r="AA186" s="110">
        <f t="shared" si="45"/>
        <v>0</v>
      </c>
      <c r="AB186" s="110"/>
      <c r="AC186" s="110"/>
      <c r="AD186" s="111"/>
    </row>
    <row r="187" spans="1:30" ht="12.75" hidden="1">
      <c r="A187" s="112" t="s">
        <v>12</v>
      </c>
      <c r="B187" s="110">
        <f t="shared" si="36"/>
        <v>0</v>
      </c>
      <c r="C187" s="110">
        <f t="shared" si="37"/>
        <v>0</v>
      </c>
      <c r="D187" s="110"/>
      <c r="E187" s="110"/>
      <c r="F187" s="110"/>
      <c r="G187" s="112" t="s">
        <v>12</v>
      </c>
      <c r="H187" s="110">
        <f t="shared" si="38"/>
        <v>0</v>
      </c>
      <c r="I187" s="110">
        <f t="shared" si="39"/>
        <v>0</v>
      </c>
      <c r="J187" s="110"/>
      <c r="K187" s="110"/>
      <c r="L187" s="110"/>
      <c r="M187" s="112" t="s">
        <v>12</v>
      </c>
      <c r="N187" s="110">
        <f t="shared" si="40"/>
        <v>0</v>
      </c>
      <c r="O187" s="110">
        <f t="shared" si="41"/>
        <v>0</v>
      </c>
      <c r="P187" s="110"/>
      <c r="Q187" s="110"/>
      <c r="R187" s="110"/>
      <c r="S187" s="112" t="s">
        <v>12</v>
      </c>
      <c r="T187" s="110">
        <f t="shared" si="42"/>
        <v>0</v>
      </c>
      <c r="U187" s="110">
        <f t="shared" si="43"/>
        <v>0</v>
      </c>
      <c r="V187" s="110"/>
      <c r="W187" s="110"/>
      <c r="X187" s="111"/>
      <c r="Y187" s="112" t="s">
        <v>12</v>
      </c>
      <c r="Z187" s="110">
        <f t="shared" si="44"/>
        <v>0</v>
      </c>
      <c r="AA187" s="110">
        <f t="shared" si="45"/>
        <v>0</v>
      </c>
      <c r="AB187" s="110"/>
      <c r="AC187" s="110"/>
      <c r="AD187" s="111"/>
    </row>
    <row r="188" spans="1:30" ht="12.75" hidden="1">
      <c r="A188" s="112" t="s">
        <v>12</v>
      </c>
      <c r="B188" s="110">
        <f t="shared" si="36"/>
        <v>0</v>
      </c>
      <c r="C188" s="110">
        <f t="shared" si="37"/>
        <v>0</v>
      </c>
      <c r="D188" s="110"/>
      <c r="E188" s="110"/>
      <c r="F188" s="110"/>
      <c r="G188" s="112" t="s">
        <v>12</v>
      </c>
      <c r="H188" s="110">
        <f t="shared" si="38"/>
        <v>0</v>
      </c>
      <c r="I188" s="110">
        <f t="shared" si="39"/>
        <v>0</v>
      </c>
      <c r="J188" s="110"/>
      <c r="K188" s="110"/>
      <c r="L188" s="110"/>
      <c r="M188" s="112" t="s">
        <v>12</v>
      </c>
      <c r="N188" s="110">
        <f t="shared" si="40"/>
        <v>0</v>
      </c>
      <c r="O188" s="110">
        <f t="shared" si="41"/>
        <v>0</v>
      </c>
      <c r="P188" s="110"/>
      <c r="Q188" s="110"/>
      <c r="R188" s="110"/>
      <c r="S188" s="112" t="s">
        <v>12</v>
      </c>
      <c r="T188" s="110">
        <f t="shared" si="42"/>
        <v>0</v>
      </c>
      <c r="U188" s="110">
        <f t="shared" si="43"/>
        <v>0</v>
      </c>
      <c r="V188" s="110"/>
      <c r="W188" s="110"/>
      <c r="X188" s="111"/>
      <c r="Y188" s="112" t="s">
        <v>12</v>
      </c>
      <c r="Z188" s="110">
        <f t="shared" si="44"/>
        <v>0</v>
      </c>
      <c r="AA188" s="110">
        <f t="shared" si="45"/>
        <v>0</v>
      </c>
      <c r="AB188" s="110"/>
      <c r="AC188" s="110"/>
      <c r="AD188" s="111"/>
    </row>
    <row r="189" spans="1:30" ht="12.75" hidden="1">
      <c r="A189" s="112" t="s">
        <v>13</v>
      </c>
      <c r="B189" s="110">
        <f aca="true" t="shared" si="46" ref="B189:B194">IF(A171="SW",-1,0)</f>
        <v>0</v>
      </c>
      <c r="C189" s="110"/>
      <c r="D189" s="110">
        <f aca="true" t="shared" si="47" ref="D189:D194">IF(A165="DLM",ROUNDDOWN((F19/2),0),0)</f>
        <v>0</v>
      </c>
      <c r="E189" s="110"/>
      <c r="F189" s="110"/>
      <c r="G189" s="112" t="s">
        <v>13</v>
      </c>
      <c r="H189" s="110">
        <f aca="true" t="shared" si="48" ref="H189:H194">IF(G171="SW",-1,0)</f>
        <v>0</v>
      </c>
      <c r="I189" s="110"/>
      <c r="J189" s="110">
        <f aca="true" t="shared" si="49" ref="J189:J194">IF(G165="DLM",ROUNDDOWN((L19/2),0),0)</f>
        <v>0</v>
      </c>
      <c r="K189" s="110"/>
      <c r="L189" s="110"/>
      <c r="M189" s="112" t="s">
        <v>13</v>
      </c>
      <c r="N189" s="110">
        <f aca="true" t="shared" si="50" ref="N189:N194">IF(M171="SW",-1,0)</f>
        <v>0</v>
      </c>
      <c r="O189" s="110"/>
      <c r="P189" s="110">
        <f aca="true" t="shared" si="51" ref="P189:P194">IF(M165="DLM",ROUNDDOWN((R19/2),0),0)</f>
        <v>0</v>
      </c>
      <c r="Q189" s="110"/>
      <c r="R189" s="110"/>
      <c r="S189" s="112" t="s">
        <v>13</v>
      </c>
      <c r="T189" s="110">
        <f aca="true" t="shared" si="52" ref="T189:T194">IF(S171="SW",-1,0)</f>
        <v>0</v>
      </c>
      <c r="U189" s="110"/>
      <c r="V189" s="110">
        <f aca="true" t="shared" si="53" ref="V189:V194">IF(S165="DLM",ROUNDDOWN((X19/2),0),0)</f>
        <v>0</v>
      </c>
      <c r="W189" s="110"/>
      <c r="X189" s="111"/>
      <c r="Y189" s="112" t="s">
        <v>13</v>
      </c>
      <c r="Z189" s="110">
        <f aca="true" t="shared" si="54" ref="Z189:Z194">IF(Y171="SW",-1,0)</f>
        <v>0</v>
      </c>
      <c r="AA189" s="110"/>
      <c r="AB189" s="110">
        <f aca="true" t="shared" si="55" ref="AB189:AB194">IF(Y165="DLM",ROUNDDOWN((AD19/2),0),0)</f>
        <v>0</v>
      </c>
      <c r="AC189" s="110"/>
      <c r="AD189" s="111"/>
    </row>
    <row r="190" spans="1:30" ht="12.75" hidden="1">
      <c r="A190" s="112" t="s">
        <v>13</v>
      </c>
      <c r="B190" s="110">
        <f t="shared" si="46"/>
        <v>0</v>
      </c>
      <c r="C190" s="110"/>
      <c r="D190" s="110">
        <f t="shared" si="47"/>
        <v>0</v>
      </c>
      <c r="E190" s="110"/>
      <c r="F190" s="110"/>
      <c r="G190" s="112" t="s">
        <v>13</v>
      </c>
      <c r="H190" s="110">
        <f t="shared" si="48"/>
        <v>0</v>
      </c>
      <c r="I190" s="110"/>
      <c r="J190" s="110">
        <f t="shared" si="49"/>
        <v>0</v>
      </c>
      <c r="K190" s="110"/>
      <c r="L190" s="110"/>
      <c r="M190" s="112" t="s">
        <v>13</v>
      </c>
      <c r="N190" s="110">
        <f t="shared" si="50"/>
        <v>0</v>
      </c>
      <c r="O190" s="110"/>
      <c r="P190" s="110">
        <f t="shared" si="51"/>
        <v>0</v>
      </c>
      <c r="Q190" s="110"/>
      <c r="R190" s="110"/>
      <c r="S190" s="112" t="s">
        <v>13</v>
      </c>
      <c r="T190" s="110">
        <f t="shared" si="52"/>
        <v>0</v>
      </c>
      <c r="U190" s="110"/>
      <c r="V190" s="110">
        <f t="shared" si="53"/>
        <v>0</v>
      </c>
      <c r="W190" s="110"/>
      <c r="X190" s="111"/>
      <c r="Y190" s="112" t="s">
        <v>13</v>
      </c>
      <c r="Z190" s="110">
        <f t="shared" si="54"/>
        <v>0</v>
      </c>
      <c r="AA190" s="110"/>
      <c r="AB190" s="110">
        <f t="shared" si="55"/>
        <v>0</v>
      </c>
      <c r="AC190" s="110"/>
      <c r="AD190" s="111"/>
    </row>
    <row r="191" spans="1:30" ht="12.75" hidden="1">
      <c r="A191" s="112" t="s">
        <v>13</v>
      </c>
      <c r="B191" s="110">
        <f t="shared" si="46"/>
        <v>0</v>
      </c>
      <c r="C191" s="110"/>
      <c r="D191" s="110">
        <f t="shared" si="47"/>
        <v>0</v>
      </c>
      <c r="E191" s="110"/>
      <c r="F191" s="110"/>
      <c r="G191" s="112" t="s">
        <v>13</v>
      </c>
      <c r="H191" s="110">
        <f t="shared" si="48"/>
        <v>0</v>
      </c>
      <c r="I191" s="110"/>
      <c r="J191" s="110">
        <f t="shared" si="49"/>
        <v>0</v>
      </c>
      <c r="K191" s="110"/>
      <c r="L191" s="110"/>
      <c r="M191" s="112" t="s">
        <v>13</v>
      </c>
      <c r="N191" s="110">
        <f t="shared" si="50"/>
        <v>0</v>
      </c>
      <c r="O191" s="110"/>
      <c r="P191" s="110">
        <f t="shared" si="51"/>
        <v>0</v>
      </c>
      <c r="Q191" s="110"/>
      <c r="R191" s="110"/>
      <c r="S191" s="112" t="s">
        <v>13</v>
      </c>
      <c r="T191" s="110">
        <f t="shared" si="52"/>
        <v>0</v>
      </c>
      <c r="U191" s="110"/>
      <c r="V191" s="110">
        <f t="shared" si="53"/>
        <v>0</v>
      </c>
      <c r="W191" s="110"/>
      <c r="X191" s="111"/>
      <c r="Y191" s="112" t="s">
        <v>13</v>
      </c>
      <c r="Z191" s="110">
        <f t="shared" si="54"/>
        <v>0</v>
      </c>
      <c r="AA191" s="110"/>
      <c r="AB191" s="110">
        <f t="shared" si="55"/>
        <v>0</v>
      </c>
      <c r="AC191" s="110"/>
      <c r="AD191" s="111"/>
    </row>
    <row r="192" spans="1:30" ht="12.75" hidden="1">
      <c r="A192" s="112" t="s">
        <v>13</v>
      </c>
      <c r="B192" s="110">
        <f t="shared" si="46"/>
        <v>0</v>
      </c>
      <c r="C192" s="110"/>
      <c r="D192" s="110">
        <f t="shared" si="47"/>
        <v>0</v>
      </c>
      <c r="E192" s="110"/>
      <c r="F192" s="110"/>
      <c r="G192" s="112" t="s">
        <v>13</v>
      </c>
      <c r="H192" s="110">
        <f t="shared" si="48"/>
        <v>0</v>
      </c>
      <c r="I192" s="110"/>
      <c r="J192" s="110">
        <f t="shared" si="49"/>
        <v>0</v>
      </c>
      <c r="K192" s="110"/>
      <c r="L192" s="110"/>
      <c r="M192" s="112" t="s">
        <v>13</v>
      </c>
      <c r="N192" s="110">
        <f t="shared" si="50"/>
        <v>0</v>
      </c>
      <c r="O192" s="110"/>
      <c r="P192" s="110">
        <f t="shared" si="51"/>
        <v>0</v>
      </c>
      <c r="Q192" s="110"/>
      <c r="R192" s="110"/>
      <c r="S192" s="112" t="s">
        <v>13</v>
      </c>
      <c r="T192" s="110">
        <f t="shared" si="52"/>
        <v>0</v>
      </c>
      <c r="U192" s="110"/>
      <c r="V192" s="110">
        <f t="shared" si="53"/>
        <v>0</v>
      </c>
      <c r="W192" s="110"/>
      <c r="X192" s="111"/>
      <c r="Y192" s="112" t="s">
        <v>13</v>
      </c>
      <c r="Z192" s="110">
        <f t="shared" si="54"/>
        <v>0</v>
      </c>
      <c r="AA192" s="110"/>
      <c r="AB192" s="110">
        <f t="shared" si="55"/>
        <v>0</v>
      </c>
      <c r="AC192" s="110"/>
      <c r="AD192" s="111"/>
    </row>
    <row r="193" spans="1:30" ht="12.75" hidden="1">
      <c r="A193" s="112" t="s">
        <v>13</v>
      </c>
      <c r="B193" s="110">
        <f t="shared" si="46"/>
        <v>0</v>
      </c>
      <c r="C193" s="110"/>
      <c r="D193" s="110">
        <f t="shared" si="47"/>
        <v>0</v>
      </c>
      <c r="E193" s="110"/>
      <c r="F193" s="110"/>
      <c r="G193" s="112" t="s">
        <v>13</v>
      </c>
      <c r="H193" s="110">
        <f t="shared" si="48"/>
        <v>0</v>
      </c>
      <c r="I193" s="110"/>
      <c r="J193" s="110">
        <f t="shared" si="49"/>
        <v>0</v>
      </c>
      <c r="K193" s="110"/>
      <c r="L193" s="110"/>
      <c r="M193" s="112" t="s">
        <v>13</v>
      </c>
      <c r="N193" s="110">
        <f t="shared" si="50"/>
        <v>0</v>
      </c>
      <c r="O193" s="110"/>
      <c r="P193" s="110">
        <f t="shared" si="51"/>
        <v>0</v>
      </c>
      <c r="Q193" s="110"/>
      <c r="R193" s="110"/>
      <c r="S193" s="112" t="s">
        <v>13</v>
      </c>
      <c r="T193" s="110">
        <f t="shared" si="52"/>
        <v>0</v>
      </c>
      <c r="U193" s="110"/>
      <c r="V193" s="110">
        <f t="shared" si="53"/>
        <v>0</v>
      </c>
      <c r="W193" s="110"/>
      <c r="X193" s="111"/>
      <c r="Y193" s="112" t="s">
        <v>13</v>
      </c>
      <c r="Z193" s="110">
        <f t="shared" si="54"/>
        <v>0</v>
      </c>
      <c r="AA193" s="110"/>
      <c r="AB193" s="110">
        <f t="shared" si="55"/>
        <v>0</v>
      </c>
      <c r="AC193" s="110"/>
      <c r="AD193" s="111"/>
    </row>
    <row r="194" spans="1:30" ht="12.75" hidden="1">
      <c r="A194" s="112" t="s">
        <v>13</v>
      </c>
      <c r="B194" s="110">
        <f t="shared" si="46"/>
        <v>0</v>
      </c>
      <c r="C194" s="110"/>
      <c r="D194" s="110">
        <f t="shared" si="47"/>
        <v>0</v>
      </c>
      <c r="E194" s="110"/>
      <c r="F194" s="110"/>
      <c r="G194" s="112" t="s">
        <v>13</v>
      </c>
      <c r="H194" s="110">
        <f t="shared" si="48"/>
        <v>0</v>
      </c>
      <c r="I194" s="110"/>
      <c r="J194" s="110">
        <f t="shared" si="49"/>
        <v>0</v>
      </c>
      <c r="K194" s="110"/>
      <c r="L194" s="110"/>
      <c r="M194" s="112" t="s">
        <v>13</v>
      </c>
      <c r="N194" s="110">
        <f t="shared" si="50"/>
        <v>0</v>
      </c>
      <c r="O194" s="110"/>
      <c r="P194" s="110">
        <f t="shared" si="51"/>
        <v>0</v>
      </c>
      <c r="Q194" s="110"/>
      <c r="R194" s="110"/>
      <c r="S194" s="112" t="s">
        <v>13</v>
      </c>
      <c r="T194" s="110">
        <f t="shared" si="52"/>
        <v>0</v>
      </c>
      <c r="U194" s="110"/>
      <c r="V194" s="110">
        <f t="shared" si="53"/>
        <v>0</v>
      </c>
      <c r="W194" s="110"/>
      <c r="X194" s="111"/>
      <c r="Y194" s="112" t="s">
        <v>13</v>
      </c>
      <c r="Z194" s="110">
        <f t="shared" si="54"/>
        <v>0</v>
      </c>
      <c r="AA194" s="110"/>
      <c r="AB194" s="110">
        <f t="shared" si="55"/>
        <v>0</v>
      </c>
      <c r="AC194" s="110"/>
      <c r="AD194" s="111"/>
    </row>
    <row r="195" spans="1:30" ht="12.75" hidden="1">
      <c r="A195" s="112" t="s">
        <v>14</v>
      </c>
      <c r="B195" s="110">
        <f aca="true" t="shared" si="56" ref="B195:B200">IF(A177="SW",-1,IF(A177="LS",1,0))</f>
        <v>0</v>
      </c>
      <c r="C195" s="110">
        <f aca="true" t="shared" si="57" ref="C195:C200">IF(A171="LK",F25,0)</f>
        <v>0</v>
      </c>
      <c r="D195" s="110">
        <f aca="true" t="shared" si="58" ref="D195:D200">IF(A171="MLM",ROUNDDOWN((F25/2),0),0)</f>
        <v>0</v>
      </c>
      <c r="E195" s="110"/>
      <c r="F195" s="110"/>
      <c r="G195" s="112" t="s">
        <v>14</v>
      </c>
      <c r="H195" s="110">
        <f aca="true" t="shared" si="59" ref="H195:H200">IF(G177="SW",-1,IF(G177="LS",1,0))</f>
        <v>0</v>
      </c>
      <c r="I195" s="110">
        <f aca="true" t="shared" si="60" ref="I195:I200">IF(G171="LK",L25,0)</f>
        <v>0</v>
      </c>
      <c r="J195" s="110">
        <f aca="true" t="shared" si="61" ref="J195:J200">IF(G171="MLM",ROUNDDOWN((L25/2),0),0)</f>
        <v>0</v>
      </c>
      <c r="K195" s="110"/>
      <c r="L195" s="110"/>
      <c r="M195" s="112" t="s">
        <v>14</v>
      </c>
      <c r="N195" s="110">
        <f aca="true" t="shared" si="62" ref="N195:N200">IF(M177="SW",-1,IF(M177="LS",1,0))</f>
        <v>0</v>
      </c>
      <c r="O195" s="110">
        <f aca="true" t="shared" si="63" ref="O195:O200">IF(M171="LK",R25,0)</f>
        <v>0</v>
      </c>
      <c r="P195" s="110">
        <f aca="true" t="shared" si="64" ref="P195:P200">IF(M171="MLM",ROUNDDOWN((R25/2),0),0)</f>
        <v>0</v>
      </c>
      <c r="Q195" s="110"/>
      <c r="R195" s="110"/>
      <c r="S195" s="112" t="s">
        <v>14</v>
      </c>
      <c r="T195" s="110">
        <f aca="true" t="shared" si="65" ref="T195:T200">IF(S177="SW",-1,IF(S177="LS",1,0))</f>
        <v>0</v>
      </c>
      <c r="U195" s="110">
        <f aca="true" t="shared" si="66" ref="U195:U200">IF(S171="LK",X25,0)</f>
        <v>0</v>
      </c>
      <c r="V195" s="110">
        <f aca="true" t="shared" si="67" ref="V195:V200">IF(S171="MLM",ROUNDDOWN((X25/2),0),0)</f>
        <v>0</v>
      </c>
      <c r="W195" s="110"/>
      <c r="X195" s="111"/>
      <c r="Y195" s="112" t="s">
        <v>14</v>
      </c>
      <c r="Z195" s="110">
        <f aca="true" t="shared" si="68" ref="Z195:Z200">IF(Y177="SW",-1,IF(Y177="LS",1,0))</f>
        <v>0</v>
      </c>
      <c r="AA195" s="110">
        <f aca="true" t="shared" si="69" ref="AA195:AA200">IF(Y171="LK",AD25,0)</f>
        <v>0</v>
      </c>
      <c r="AB195" s="110">
        <f aca="true" t="shared" si="70" ref="AB195:AB200">IF(Y171="MLM",ROUNDDOWN((AD25/2),0),0)</f>
        <v>0</v>
      </c>
      <c r="AC195" s="110"/>
      <c r="AD195" s="111"/>
    </row>
    <row r="196" spans="1:30" ht="12.75" hidden="1">
      <c r="A196" s="112" t="s">
        <v>14</v>
      </c>
      <c r="B196" s="110">
        <f t="shared" si="56"/>
        <v>0</v>
      </c>
      <c r="C196" s="110">
        <f t="shared" si="57"/>
        <v>0</v>
      </c>
      <c r="D196" s="110">
        <f t="shared" si="58"/>
        <v>0</v>
      </c>
      <c r="E196" s="110"/>
      <c r="F196" s="110"/>
      <c r="G196" s="112" t="s">
        <v>14</v>
      </c>
      <c r="H196" s="110">
        <f t="shared" si="59"/>
        <v>0</v>
      </c>
      <c r="I196" s="110">
        <f t="shared" si="60"/>
        <v>0</v>
      </c>
      <c r="J196" s="110">
        <f t="shared" si="61"/>
        <v>0</v>
      </c>
      <c r="K196" s="110"/>
      <c r="L196" s="110"/>
      <c r="M196" s="112" t="s">
        <v>14</v>
      </c>
      <c r="N196" s="110">
        <f t="shared" si="62"/>
        <v>0</v>
      </c>
      <c r="O196" s="110">
        <f t="shared" si="63"/>
        <v>0</v>
      </c>
      <c r="P196" s="110">
        <f t="shared" si="64"/>
        <v>0</v>
      </c>
      <c r="Q196" s="110"/>
      <c r="R196" s="110"/>
      <c r="S196" s="112" t="s">
        <v>14</v>
      </c>
      <c r="T196" s="110">
        <f t="shared" si="65"/>
        <v>0</v>
      </c>
      <c r="U196" s="110">
        <f t="shared" si="66"/>
        <v>0</v>
      </c>
      <c r="V196" s="110">
        <f t="shared" si="67"/>
        <v>0</v>
      </c>
      <c r="W196" s="110"/>
      <c r="X196" s="111"/>
      <c r="Y196" s="112" t="s">
        <v>14</v>
      </c>
      <c r="Z196" s="110">
        <f t="shared" si="68"/>
        <v>0</v>
      </c>
      <c r="AA196" s="110">
        <f t="shared" si="69"/>
        <v>0</v>
      </c>
      <c r="AB196" s="110">
        <f t="shared" si="70"/>
        <v>0</v>
      </c>
      <c r="AC196" s="110"/>
      <c r="AD196" s="111"/>
    </row>
    <row r="197" spans="1:30" ht="12.75" hidden="1">
      <c r="A197" s="112" t="s">
        <v>14</v>
      </c>
      <c r="B197" s="110">
        <f t="shared" si="56"/>
        <v>0</v>
      </c>
      <c r="C197" s="110">
        <f t="shared" si="57"/>
        <v>0</v>
      </c>
      <c r="D197" s="110">
        <f t="shared" si="58"/>
        <v>0</v>
      </c>
      <c r="E197" s="110"/>
      <c r="F197" s="110"/>
      <c r="G197" s="112" t="s">
        <v>14</v>
      </c>
      <c r="H197" s="110">
        <f t="shared" si="59"/>
        <v>0</v>
      </c>
      <c r="I197" s="110">
        <f t="shared" si="60"/>
        <v>0</v>
      </c>
      <c r="J197" s="110">
        <f t="shared" si="61"/>
        <v>0</v>
      </c>
      <c r="K197" s="110"/>
      <c r="L197" s="110"/>
      <c r="M197" s="112" t="s">
        <v>14</v>
      </c>
      <c r="N197" s="110">
        <f t="shared" si="62"/>
        <v>0</v>
      </c>
      <c r="O197" s="110">
        <f t="shared" si="63"/>
        <v>0</v>
      </c>
      <c r="P197" s="110">
        <f t="shared" si="64"/>
        <v>0</v>
      </c>
      <c r="Q197" s="110"/>
      <c r="R197" s="110"/>
      <c r="S197" s="112" t="s">
        <v>14</v>
      </c>
      <c r="T197" s="110">
        <f t="shared" si="65"/>
        <v>0</v>
      </c>
      <c r="U197" s="110">
        <f t="shared" si="66"/>
        <v>0</v>
      </c>
      <c r="V197" s="110">
        <f t="shared" si="67"/>
        <v>0</v>
      </c>
      <c r="W197" s="110"/>
      <c r="X197" s="111"/>
      <c r="Y197" s="112" t="s">
        <v>14</v>
      </c>
      <c r="Z197" s="110">
        <f t="shared" si="68"/>
        <v>0</v>
      </c>
      <c r="AA197" s="110">
        <f t="shared" si="69"/>
        <v>0</v>
      </c>
      <c r="AB197" s="110">
        <f t="shared" si="70"/>
        <v>0</v>
      </c>
      <c r="AC197" s="110"/>
      <c r="AD197" s="111"/>
    </row>
    <row r="198" spans="1:30" ht="12.75" hidden="1">
      <c r="A198" s="112" t="s">
        <v>14</v>
      </c>
      <c r="B198" s="110">
        <f t="shared" si="56"/>
        <v>0</v>
      </c>
      <c r="C198" s="110">
        <f t="shared" si="57"/>
        <v>0</v>
      </c>
      <c r="D198" s="110">
        <f t="shared" si="58"/>
        <v>0</v>
      </c>
      <c r="E198" s="110"/>
      <c r="F198" s="110"/>
      <c r="G198" s="112" t="s">
        <v>14</v>
      </c>
      <c r="H198" s="110">
        <f t="shared" si="59"/>
        <v>0</v>
      </c>
      <c r="I198" s="110">
        <f t="shared" si="60"/>
        <v>0</v>
      </c>
      <c r="J198" s="110">
        <f t="shared" si="61"/>
        <v>0</v>
      </c>
      <c r="K198" s="110"/>
      <c r="L198" s="110"/>
      <c r="M198" s="112" t="s">
        <v>14</v>
      </c>
      <c r="N198" s="110">
        <f t="shared" si="62"/>
        <v>0</v>
      </c>
      <c r="O198" s="110">
        <f t="shared" si="63"/>
        <v>0</v>
      </c>
      <c r="P198" s="110">
        <f t="shared" si="64"/>
        <v>0</v>
      </c>
      <c r="Q198" s="110"/>
      <c r="R198" s="110"/>
      <c r="S198" s="112" t="s">
        <v>14</v>
      </c>
      <c r="T198" s="110">
        <f t="shared" si="65"/>
        <v>0</v>
      </c>
      <c r="U198" s="110">
        <f t="shared" si="66"/>
        <v>0</v>
      </c>
      <c r="V198" s="110">
        <f t="shared" si="67"/>
        <v>0</v>
      </c>
      <c r="W198" s="110"/>
      <c r="X198" s="111"/>
      <c r="Y198" s="112" t="s">
        <v>14</v>
      </c>
      <c r="Z198" s="110">
        <f t="shared" si="68"/>
        <v>0</v>
      </c>
      <c r="AA198" s="110">
        <f t="shared" si="69"/>
        <v>0</v>
      </c>
      <c r="AB198" s="110">
        <f t="shared" si="70"/>
        <v>0</v>
      </c>
      <c r="AC198" s="110"/>
      <c r="AD198" s="111"/>
    </row>
    <row r="199" spans="1:30" ht="12.75" hidden="1">
      <c r="A199" s="112" t="s">
        <v>14</v>
      </c>
      <c r="B199" s="110">
        <f t="shared" si="56"/>
        <v>0</v>
      </c>
      <c r="C199" s="110">
        <f t="shared" si="57"/>
        <v>0</v>
      </c>
      <c r="D199" s="110">
        <f t="shared" si="58"/>
        <v>0</v>
      </c>
      <c r="E199" s="110"/>
      <c r="F199" s="110"/>
      <c r="G199" s="112" t="s">
        <v>14</v>
      </c>
      <c r="H199" s="110">
        <f t="shared" si="59"/>
        <v>0</v>
      </c>
      <c r="I199" s="110">
        <f t="shared" si="60"/>
        <v>0</v>
      </c>
      <c r="J199" s="110">
        <f t="shared" si="61"/>
        <v>0</v>
      </c>
      <c r="K199" s="110"/>
      <c r="L199" s="110"/>
      <c r="M199" s="112" t="s">
        <v>14</v>
      </c>
      <c r="N199" s="110">
        <f t="shared" si="62"/>
        <v>0</v>
      </c>
      <c r="O199" s="110">
        <f t="shared" si="63"/>
        <v>0</v>
      </c>
      <c r="P199" s="110">
        <f t="shared" si="64"/>
        <v>0</v>
      </c>
      <c r="Q199" s="110"/>
      <c r="R199" s="110"/>
      <c r="S199" s="112" t="s">
        <v>14</v>
      </c>
      <c r="T199" s="110">
        <f t="shared" si="65"/>
        <v>0</v>
      </c>
      <c r="U199" s="110">
        <f t="shared" si="66"/>
        <v>0</v>
      </c>
      <c r="V199" s="110">
        <f t="shared" si="67"/>
        <v>0</v>
      </c>
      <c r="W199" s="110"/>
      <c r="X199" s="111"/>
      <c r="Y199" s="112" t="s">
        <v>14</v>
      </c>
      <c r="Z199" s="110">
        <f t="shared" si="68"/>
        <v>0</v>
      </c>
      <c r="AA199" s="110">
        <f t="shared" si="69"/>
        <v>0</v>
      </c>
      <c r="AB199" s="110">
        <f t="shared" si="70"/>
        <v>0</v>
      </c>
      <c r="AC199" s="110"/>
      <c r="AD199" s="111"/>
    </row>
    <row r="200" spans="1:30" ht="12.75" hidden="1">
      <c r="A200" s="112" t="s">
        <v>14</v>
      </c>
      <c r="B200" s="110">
        <f t="shared" si="56"/>
        <v>0</v>
      </c>
      <c r="C200" s="110">
        <f t="shared" si="57"/>
        <v>0</v>
      </c>
      <c r="D200" s="110">
        <f t="shared" si="58"/>
        <v>0</v>
      </c>
      <c r="E200" s="110"/>
      <c r="F200" s="110"/>
      <c r="G200" s="112" t="s">
        <v>14</v>
      </c>
      <c r="H200" s="110">
        <f t="shared" si="59"/>
        <v>0</v>
      </c>
      <c r="I200" s="110">
        <f t="shared" si="60"/>
        <v>0</v>
      </c>
      <c r="J200" s="110">
        <f t="shared" si="61"/>
        <v>0</v>
      </c>
      <c r="K200" s="110"/>
      <c r="L200" s="110"/>
      <c r="M200" s="112" t="s">
        <v>14</v>
      </c>
      <c r="N200" s="110">
        <f t="shared" si="62"/>
        <v>0</v>
      </c>
      <c r="O200" s="110">
        <f t="shared" si="63"/>
        <v>0</v>
      </c>
      <c r="P200" s="110">
        <f t="shared" si="64"/>
        <v>0</v>
      </c>
      <c r="Q200" s="110"/>
      <c r="R200" s="110"/>
      <c r="S200" s="112" t="s">
        <v>14</v>
      </c>
      <c r="T200" s="110">
        <f t="shared" si="65"/>
        <v>0</v>
      </c>
      <c r="U200" s="110">
        <f t="shared" si="66"/>
        <v>0</v>
      </c>
      <c r="V200" s="110">
        <f t="shared" si="67"/>
        <v>0</v>
      </c>
      <c r="W200" s="110"/>
      <c r="X200" s="111"/>
      <c r="Y200" s="112" t="s">
        <v>14</v>
      </c>
      <c r="Z200" s="110">
        <f t="shared" si="68"/>
        <v>0</v>
      </c>
      <c r="AA200" s="110">
        <f t="shared" si="69"/>
        <v>0</v>
      </c>
      <c r="AB200" s="110">
        <f t="shared" si="70"/>
        <v>0</v>
      </c>
      <c r="AC200" s="110"/>
      <c r="AD200" s="111"/>
    </row>
    <row r="201" spans="1:30" ht="12.75" hidden="1">
      <c r="A201" s="112" t="s">
        <v>10</v>
      </c>
      <c r="B201" s="110" t="s">
        <v>11</v>
      </c>
      <c r="C201" s="110" t="s">
        <v>12</v>
      </c>
      <c r="D201" s="110" t="s">
        <v>13</v>
      </c>
      <c r="E201" s="110" t="s">
        <v>14</v>
      </c>
      <c r="F201" s="110"/>
      <c r="G201" s="112" t="s">
        <v>10</v>
      </c>
      <c r="H201" s="110" t="s">
        <v>11</v>
      </c>
      <c r="I201" s="110" t="s">
        <v>12</v>
      </c>
      <c r="J201" s="110" t="s">
        <v>13</v>
      </c>
      <c r="K201" s="110" t="s">
        <v>14</v>
      </c>
      <c r="L201" s="110"/>
      <c r="M201" s="112" t="s">
        <v>10</v>
      </c>
      <c r="N201" s="110" t="s">
        <v>11</v>
      </c>
      <c r="O201" s="110" t="s">
        <v>12</v>
      </c>
      <c r="P201" s="110" t="s">
        <v>13</v>
      </c>
      <c r="Q201" s="110" t="s">
        <v>14</v>
      </c>
      <c r="R201" s="110"/>
      <c r="S201" s="112" t="s">
        <v>10</v>
      </c>
      <c r="T201" s="110" t="s">
        <v>11</v>
      </c>
      <c r="U201" s="110" t="s">
        <v>12</v>
      </c>
      <c r="V201" s="110" t="s">
        <v>13</v>
      </c>
      <c r="W201" s="110" t="s">
        <v>14</v>
      </c>
      <c r="X201" s="111"/>
      <c r="Y201" s="112" t="s">
        <v>10</v>
      </c>
      <c r="Z201" s="110" t="s">
        <v>11</v>
      </c>
      <c r="AA201" s="110" t="s">
        <v>12</v>
      </c>
      <c r="AB201" s="110" t="s">
        <v>13</v>
      </c>
      <c r="AC201" s="110" t="s">
        <v>14</v>
      </c>
      <c r="AD201" s="111"/>
    </row>
    <row r="202" spans="1:30" ht="12.75" hidden="1">
      <c r="A202" s="112"/>
      <c r="B202" s="110">
        <f>SUM(D165:D171)</f>
        <v>0</v>
      </c>
      <c r="C202" s="110">
        <f>SUM(B165:C170)+SUM(B183:B188)+SUM(C183:C188)</f>
        <v>0</v>
      </c>
      <c r="D202" s="110">
        <f>SUM(B171:C176)+SUM(B189:B194)+SUM(D189:D194)</f>
        <v>0</v>
      </c>
      <c r="E202" s="110">
        <f>SUM(B177:C182)+SUM(B195:B200)+SUM(C195:C200)+SUM(D195:D200)</f>
        <v>0</v>
      </c>
      <c r="F202" s="110"/>
      <c r="G202" s="112"/>
      <c r="H202" s="110">
        <f>SUM(J165:J171)</f>
        <v>0</v>
      </c>
      <c r="I202" s="110">
        <f>SUM(H165:I170)+SUM(H183:H188)+SUM(I183:I188)</f>
        <v>0</v>
      </c>
      <c r="J202" s="110">
        <f>SUM(H171:I176)+SUM(H189:H194)+SUM(J189:J194)</f>
        <v>0</v>
      </c>
      <c r="K202" s="110">
        <f>SUM(H177:I182)+SUM(H195:H200)+SUM(I195:I200)+SUM(J195:J200)</f>
        <v>0</v>
      </c>
      <c r="L202" s="110"/>
      <c r="M202" s="112"/>
      <c r="N202" s="110">
        <f>SUM(P165:P171)</f>
        <v>0</v>
      </c>
      <c r="O202" s="110">
        <f>SUM(N165:O170)+SUM(N183:N188)+SUM(O183:O188)</f>
        <v>0</v>
      </c>
      <c r="P202" s="110">
        <f>SUM(N171:O176)+SUM(N189:N194)+SUM(P189:P194)</f>
        <v>0</v>
      </c>
      <c r="Q202" s="110">
        <f>SUM(N177:O182)+SUM(N195:N200)+SUM(O195:O200)+SUM(P195:P200)</f>
        <v>0</v>
      </c>
      <c r="R202" s="110"/>
      <c r="S202" s="112"/>
      <c r="T202" s="110">
        <f>SUM(V165:V171)</f>
        <v>0</v>
      </c>
      <c r="U202" s="110">
        <f>SUM(T165:U170)+SUM(T183:T188)+SUM(U183:U188)</f>
        <v>0</v>
      </c>
      <c r="V202" s="110">
        <f>SUM(T171:U176)+SUM(T189:T194)+SUM(V189:V194)</f>
        <v>0</v>
      </c>
      <c r="W202" s="110">
        <f>SUM(T177:U182)+SUM(T195:T200)+SUM(U195:U200)+SUM(V195:V200)</f>
        <v>0</v>
      </c>
      <c r="X202" s="111"/>
      <c r="Y202" s="112"/>
      <c r="Z202" s="110">
        <f>SUM(AB165:AB171)</f>
        <v>0</v>
      </c>
      <c r="AA202" s="110">
        <f>SUM(Z165:AA170)+SUM(Z183:Z188)+SUM(AA183:AA188)</f>
        <v>0</v>
      </c>
      <c r="AB202" s="110">
        <f>SUM(Z171:AA176)+SUM(Z189:Z194)+SUM(AB189:AB194)</f>
        <v>0</v>
      </c>
      <c r="AC202" s="110">
        <f>SUM(Z177:AA182)+SUM(Z195:Z200)+SUM(AA195:AA200)+SUM(AB195:AB200)</f>
        <v>0</v>
      </c>
      <c r="AD202" s="111"/>
    </row>
    <row r="203" spans="1:30" ht="12.75" hidden="1">
      <c r="A203" s="112"/>
      <c r="B203" s="110">
        <f>IF(E11="H",B202,IF(E11="HOME",B202,B202-SUM(D165:D170)))</f>
        <v>0</v>
      </c>
      <c r="C203" s="110">
        <f>IF(E11="H",C202,IF(E11="HOME",C202,C202-SUM(C183:C188)))</f>
        <v>0</v>
      </c>
      <c r="D203" s="110">
        <f>IF(E11="H",D202,IF(E11="HOME",D202,D202-SUM(D189:D194)))</f>
        <v>0</v>
      </c>
      <c r="E203" s="110">
        <f>IF(E11="H",E202+SUM(D177:D182)-AG177,IF(E11="HOME",E202+SUM(D177:D182)-AG177,E202-SUM(C195:D200)-AG177+SUM(D177:D182)))</f>
        <v>0</v>
      </c>
      <c r="F203" s="110"/>
      <c r="G203" s="112"/>
      <c r="H203" s="110">
        <f>IF(K11="H",H202,IF(K11="HOME",H202,H202-SUM(J165:J170)))</f>
        <v>0</v>
      </c>
      <c r="I203" s="110">
        <f>IF(K11="H",I202,IF(K11="HOME",I202,I202-SUM(I183:I188)))</f>
        <v>0</v>
      </c>
      <c r="J203" s="110">
        <f>IF(K11="H",J202,IF(K11="HOME",J202,J202-SUM(J189:J194)))</f>
        <v>0</v>
      </c>
      <c r="K203" s="110">
        <f>IF(K11="H",K202+SUM(J177:J182)-AH177,IF(K11="HOME",K202-AH177+SUM(J177:J182),K202-SUM(I195:J200)-AH177+SUM(J177:J182)))</f>
        <v>0</v>
      </c>
      <c r="L203" s="110"/>
      <c r="M203" s="112"/>
      <c r="N203" s="110">
        <f>IF(Q11="H",N202,IF(Q11="HOME",N202,N202-SUM(P165:P170)))</f>
        <v>0</v>
      </c>
      <c r="O203" s="110">
        <f>IF(Q11="H",O202,IF(Q11="HOME",O202,O202-SUM(O183:O188)))</f>
        <v>0</v>
      </c>
      <c r="P203" s="110">
        <f>IF(Q11="H",P202,IF(Q11="HOME",P202,P202-SUM(P189:P194)))</f>
        <v>0</v>
      </c>
      <c r="Q203" s="110">
        <f>IF(Q11="H",Q202-AI177+SUM(P177:P182),IF(Q11="HOME",Q202-AI177+SUM(P177:P182),Q202-AI177-SUM(O195:P200)+SUM(P177:P182)))</f>
        <v>0</v>
      </c>
      <c r="R203" s="110"/>
      <c r="S203" s="112"/>
      <c r="T203" s="110">
        <f>IF(W11="H",T202,IF(W11="HOME",T202,T202-SUM(V165:V170)))</f>
        <v>0</v>
      </c>
      <c r="U203" s="110">
        <f>IF(W11="H",U202,IF(W11="HOME",U202,U202-SUM(U183:U188)))</f>
        <v>0</v>
      </c>
      <c r="V203" s="110">
        <f>IF(W11="H",V202,IF(W11="HOME",V202,V202-SUM(V189:V194)))</f>
        <v>0</v>
      </c>
      <c r="W203" s="110">
        <f>IF(W11="H",W202-AJ177+SUM(V177:V182),IF(W11="HOME",W202-AJ177+SUM(V177:V182),W202-AJ177-SUM(U195:V200)+SUM(V177:V182)))</f>
        <v>0</v>
      </c>
      <c r="X203" s="111"/>
      <c r="Y203" s="112"/>
      <c r="Z203" s="110">
        <f>IF(AC11="H",Z202,IF(AC11="HOME",Z202,Z202-SUM(AB165:AB170)))</f>
        <v>0</v>
      </c>
      <c r="AA203" s="110">
        <f>IF(AC11="H",AA202,IF(AC11="HOME",AA202,AA202-SUM(AA183:AA188)))</f>
        <v>0</v>
      </c>
      <c r="AB203" s="110">
        <f>IF(AC11="H",AB202,IF(AC11="HOME",AB202,AB202-SUM(AB189:AB194)))</f>
        <v>0</v>
      </c>
      <c r="AC203" s="110">
        <f>IF(AC11="H",AC202-AK177+SUM(AB177:AB182),IF(AC11="HOME",AC202-AK177+SUM(AB177:AB182),AC202-AK177-SUM(AA195:AB200)+SUM(AB177:AB182)))</f>
        <v>0</v>
      </c>
      <c r="AD203" s="111"/>
    </row>
    <row r="204" spans="1:30" ht="13.5" hidden="1" thickBot="1">
      <c r="A204" s="113"/>
      <c r="B204" s="114"/>
      <c r="C204" s="114"/>
      <c r="D204" s="114"/>
      <c r="E204" s="114"/>
      <c r="F204" s="114"/>
      <c r="G204" s="113"/>
      <c r="H204" s="114"/>
      <c r="I204" s="114"/>
      <c r="J204" s="114"/>
      <c r="K204" s="114"/>
      <c r="L204" s="114"/>
      <c r="M204" s="113"/>
      <c r="N204" s="114"/>
      <c r="O204" s="114"/>
      <c r="P204" s="114"/>
      <c r="Q204" s="114"/>
      <c r="R204" s="114"/>
      <c r="S204" s="113"/>
      <c r="T204" s="114"/>
      <c r="U204" s="114"/>
      <c r="V204" s="114"/>
      <c r="W204" s="114"/>
      <c r="X204" s="115"/>
      <c r="Y204" s="113"/>
      <c r="Z204" s="114"/>
      <c r="AA204" s="114"/>
      <c r="AB204" s="114"/>
      <c r="AC204" s="114"/>
      <c r="AD204" s="115"/>
    </row>
    <row r="205" spans="1:30" ht="12.75" hidden="1">
      <c r="A205" s="116" t="s">
        <v>158</v>
      </c>
      <c r="B205" s="117">
        <f>COUNT(A17:A36)</f>
        <v>0</v>
      </c>
      <c r="C205" s="117"/>
      <c r="D205" s="117"/>
      <c r="E205" s="117"/>
      <c r="F205" s="118"/>
      <c r="G205" s="116" t="s">
        <v>159</v>
      </c>
      <c r="H205" s="117">
        <f>COUNT(G17:G36)</f>
        <v>0</v>
      </c>
      <c r="I205" s="117"/>
      <c r="J205" s="117"/>
      <c r="K205" s="117"/>
      <c r="L205" s="119"/>
      <c r="M205" s="116" t="s">
        <v>159</v>
      </c>
      <c r="N205" s="117">
        <f>COUNT(M17:M36)</f>
        <v>0</v>
      </c>
      <c r="O205" s="117"/>
      <c r="P205" s="117"/>
      <c r="Q205" s="117"/>
      <c r="R205" s="119"/>
      <c r="S205" s="120" t="s">
        <v>159</v>
      </c>
      <c r="T205" s="117">
        <f>COUNT(S17:S36)</f>
        <v>0</v>
      </c>
      <c r="U205" s="117"/>
      <c r="V205" s="117"/>
      <c r="W205" s="117"/>
      <c r="X205" s="119"/>
      <c r="Y205" s="120" t="s">
        <v>159</v>
      </c>
      <c r="Z205" s="117">
        <f>COUNT(Y17:Y36)</f>
        <v>0</v>
      </c>
      <c r="AA205" s="117"/>
      <c r="AB205" s="117"/>
      <c r="AC205" s="117"/>
      <c r="AD205" s="119"/>
    </row>
    <row r="206" spans="1:30" ht="12.75" hidden="1">
      <c r="A206" s="112" t="s">
        <v>160</v>
      </c>
      <c r="B206" s="110">
        <f>COUNTIF(A18:$A$36,A17)</f>
        <v>0</v>
      </c>
      <c r="C206" s="110"/>
      <c r="D206" s="110"/>
      <c r="E206" s="110"/>
      <c r="F206" s="121"/>
      <c r="G206" s="112" t="s">
        <v>160</v>
      </c>
      <c r="H206" s="110">
        <f>COUNTIF(G18:G$36,G17)</f>
        <v>0</v>
      </c>
      <c r="I206" s="110"/>
      <c r="J206" s="110"/>
      <c r="K206" s="110"/>
      <c r="L206" s="111"/>
      <c r="M206" s="112" t="s">
        <v>160</v>
      </c>
      <c r="N206" s="110">
        <f>COUNTIF(M18:M$36,M17)</f>
        <v>0</v>
      </c>
      <c r="O206" s="110"/>
      <c r="P206" s="110"/>
      <c r="Q206" s="110"/>
      <c r="R206" s="111"/>
      <c r="S206" s="122" t="s">
        <v>160</v>
      </c>
      <c r="T206" s="110">
        <f>COUNTIF(S18:S$36,S17)</f>
        <v>0</v>
      </c>
      <c r="U206" s="110"/>
      <c r="V206" s="110"/>
      <c r="W206" s="110"/>
      <c r="X206" s="111"/>
      <c r="Y206" s="122" t="s">
        <v>160</v>
      </c>
      <c r="Z206" s="110">
        <f>COUNTIF(Y18:Y$36,Y17)</f>
        <v>0</v>
      </c>
      <c r="AA206" s="110"/>
      <c r="AB206" s="110"/>
      <c r="AC206" s="110"/>
      <c r="AD206" s="111"/>
    </row>
    <row r="207" spans="1:30" ht="12.75" hidden="1">
      <c r="A207" s="112" t="s">
        <v>161</v>
      </c>
      <c r="B207" s="110">
        <f>COUNTIF(A19:$A$36,A18)</f>
        <v>0</v>
      </c>
      <c r="C207" s="110"/>
      <c r="D207" s="110"/>
      <c r="E207" s="110"/>
      <c r="F207" s="121"/>
      <c r="G207" s="112" t="s">
        <v>161</v>
      </c>
      <c r="H207" s="110">
        <f>COUNTIF(G19:G$36,G18)</f>
        <v>0</v>
      </c>
      <c r="I207" s="110"/>
      <c r="J207" s="110"/>
      <c r="K207" s="110"/>
      <c r="L207" s="111"/>
      <c r="M207" s="112" t="s">
        <v>161</v>
      </c>
      <c r="N207" s="110">
        <f>COUNTIF(M19:M$36,M18)</f>
        <v>0</v>
      </c>
      <c r="O207" s="110"/>
      <c r="P207" s="110"/>
      <c r="Q207" s="110"/>
      <c r="R207" s="111"/>
      <c r="S207" s="122" t="s">
        <v>161</v>
      </c>
      <c r="T207" s="110">
        <f>COUNTIF(S19:S$36,S18)</f>
        <v>0</v>
      </c>
      <c r="U207" s="110"/>
      <c r="V207" s="110"/>
      <c r="W207" s="110"/>
      <c r="X207" s="111"/>
      <c r="Y207" s="122" t="s">
        <v>161</v>
      </c>
      <c r="Z207" s="110">
        <f>COUNTIF(Y19:Y$36,Y18)</f>
        <v>0</v>
      </c>
      <c r="AA207" s="110"/>
      <c r="AB207" s="110"/>
      <c r="AC207" s="110"/>
      <c r="AD207" s="111"/>
    </row>
    <row r="208" spans="1:30" ht="12.75" hidden="1">
      <c r="A208" s="112" t="s">
        <v>162</v>
      </c>
      <c r="B208" s="110">
        <f>COUNTIF(A20:$A$36,A19)</f>
        <v>0</v>
      </c>
      <c r="C208" s="110"/>
      <c r="D208" s="110"/>
      <c r="E208" s="110"/>
      <c r="F208" s="121"/>
      <c r="G208" s="112" t="s">
        <v>162</v>
      </c>
      <c r="H208" s="110">
        <f>COUNTIF(G20:G$36,G19)</f>
        <v>0</v>
      </c>
      <c r="I208" s="110"/>
      <c r="J208" s="110"/>
      <c r="K208" s="110"/>
      <c r="L208" s="111"/>
      <c r="M208" s="112" t="s">
        <v>162</v>
      </c>
      <c r="N208" s="110">
        <f>COUNTIF(M20:M$36,M19)</f>
        <v>0</v>
      </c>
      <c r="O208" s="110"/>
      <c r="P208" s="110"/>
      <c r="Q208" s="110"/>
      <c r="R208" s="111"/>
      <c r="S208" s="122" t="s">
        <v>162</v>
      </c>
      <c r="T208" s="110">
        <f>COUNTIF(S20:S$36,S19)</f>
        <v>0</v>
      </c>
      <c r="U208" s="110"/>
      <c r="V208" s="110"/>
      <c r="W208" s="110"/>
      <c r="X208" s="111"/>
      <c r="Y208" s="122" t="s">
        <v>162</v>
      </c>
      <c r="Z208" s="110">
        <f>COUNTIF(Y20:Y$36,Y19)</f>
        <v>0</v>
      </c>
      <c r="AA208" s="110"/>
      <c r="AB208" s="110"/>
      <c r="AC208" s="110"/>
      <c r="AD208" s="111"/>
    </row>
    <row r="209" spans="1:30" ht="12.75" hidden="1">
      <c r="A209" s="112" t="s">
        <v>163</v>
      </c>
      <c r="B209" s="110">
        <f>COUNTIF(A21:$A$36,A20)</f>
        <v>0</v>
      </c>
      <c r="C209" s="110"/>
      <c r="D209" s="110"/>
      <c r="E209" s="110"/>
      <c r="F209" s="121"/>
      <c r="G209" s="112" t="s">
        <v>163</v>
      </c>
      <c r="H209" s="110">
        <f>COUNTIF(G21:G$36,G20)</f>
        <v>0</v>
      </c>
      <c r="I209" s="110"/>
      <c r="J209" s="110"/>
      <c r="K209" s="110"/>
      <c r="L209" s="111"/>
      <c r="M209" s="112" t="s">
        <v>163</v>
      </c>
      <c r="N209" s="110">
        <f>COUNTIF(M21:M$36,M20)</f>
        <v>0</v>
      </c>
      <c r="O209" s="110"/>
      <c r="P209" s="110"/>
      <c r="Q209" s="110"/>
      <c r="R209" s="111"/>
      <c r="S209" s="122" t="s">
        <v>163</v>
      </c>
      <c r="T209" s="110">
        <f>COUNTIF(S21:S$36,S20)</f>
        <v>0</v>
      </c>
      <c r="U209" s="110"/>
      <c r="V209" s="110"/>
      <c r="W209" s="110"/>
      <c r="X209" s="111"/>
      <c r="Y209" s="122" t="s">
        <v>163</v>
      </c>
      <c r="Z209" s="110">
        <f>COUNTIF(Y21:Y$36,Y20)</f>
        <v>0</v>
      </c>
      <c r="AA209" s="110"/>
      <c r="AB209" s="110"/>
      <c r="AC209" s="110"/>
      <c r="AD209" s="111"/>
    </row>
    <row r="210" spans="1:30" ht="12.75" hidden="1">
      <c r="A210" s="112" t="s">
        <v>164</v>
      </c>
      <c r="B210" s="110">
        <f>COUNTIF(A22:$A$36,A21)</f>
        <v>0</v>
      </c>
      <c r="C210" s="110"/>
      <c r="D210" s="110"/>
      <c r="E210" s="110"/>
      <c r="F210" s="121"/>
      <c r="G210" s="112" t="s">
        <v>164</v>
      </c>
      <c r="H210" s="110">
        <f>COUNTIF(G22:G$36,G21)</f>
        <v>0</v>
      </c>
      <c r="I210" s="110"/>
      <c r="J210" s="110"/>
      <c r="K210" s="110"/>
      <c r="L210" s="111"/>
      <c r="M210" s="112" t="s">
        <v>164</v>
      </c>
      <c r="N210" s="110">
        <f>COUNTIF(M22:M$36,M21)</f>
        <v>0</v>
      </c>
      <c r="O210" s="110"/>
      <c r="P210" s="110"/>
      <c r="Q210" s="110"/>
      <c r="R210" s="111"/>
      <c r="S210" s="122" t="s">
        <v>164</v>
      </c>
      <c r="T210" s="110">
        <f>COUNTIF(S22:S$36,S21)</f>
        <v>0</v>
      </c>
      <c r="U210" s="110"/>
      <c r="V210" s="110"/>
      <c r="W210" s="110"/>
      <c r="X210" s="111"/>
      <c r="Y210" s="122" t="s">
        <v>164</v>
      </c>
      <c r="Z210" s="110">
        <f>COUNTIF(Y22:Y$36,Y21)</f>
        <v>0</v>
      </c>
      <c r="AA210" s="110"/>
      <c r="AB210" s="110"/>
      <c r="AC210" s="110"/>
      <c r="AD210" s="111"/>
    </row>
    <row r="211" spans="1:30" ht="12.75" hidden="1">
      <c r="A211" s="112" t="s">
        <v>165</v>
      </c>
      <c r="B211" s="110">
        <f>COUNTIF(A23:$A$36,A22)</f>
        <v>0</v>
      </c>
      <c r="C211" s="110"/>
      <c r="D211" s="110"/>
      <c r="E211" s="110"/>
      <c r="F211" s="121"/>
      <c r="G211" s="112" t="s">
        <v>165</v>
      </c>
      <c r="H211" s="110">
        <f>COUNTIF(G23:G$36,G22)</f>
        <v>0</v>
      </c>
      <c r="I211" s="110"/>
      <c r="J211" s="110"/>
      <c r="K211" s="110"/>
      <c r="L211" s="111"/>
      <c r="M211" s="112" t="s">
        <v>165</v>
      </c>
      <c r="N211" s="110">
        <f>COUNTIF(M23:M$36,M22)</f>
        <v>0</v>
      </c>
      <c r="O211" s="110"/>
      <c r="P211" s="110"/>
      <c r="Q211" s="110"/>
      <c r="R211" s="111"/>
      <c r="S211" s="122" t="s">
        <v>165</v>
      </c>
      <c r="T211" s="110">
        <f>COUNTIF(S23:S$36,S22)</f>
        <v>0</v>
      </c>
      <c r="U211" s="110"/>
      <c r="V211" s="110"/>
      <c r="W211" s="110"/>
      <c r="X211" s="111"/>
      <c r="Y211" s="122" t="s">
        <v>165</v>
      </c>
      <c r="Z211" s="110">
        <f>COUNTIF(Y23:Y$36,Y22)</f>
        <v>0</v>
      </c>
      <c r="AA211" s="110"/>
      <c r="AB211" s="110"/>
      <c r="AC211" s="110"/>
      <c r="AD211" s="111"/>
    </row>
    <row r="212" spans="1:30" ht="12.75" hidden="1">
      <c r="A212" s="112" t="s">
        <v>166</v>
      </c>
      <c r="B212" s="110">
        <f>COUNTIF(A24:$A$36,A23)</f>
        <v>0</v>
      </c>
      <c r="C212" s="110"/>
      <c r="D212" s="110"/>
      <c r="E212" s="110"/>
      <c r="F212" s="121"/>
      <c r="G212" s="112" t="s">
        <v>166</v>
      </c>
      <c r="H212" s="110">
        <f>COUNTIF(G24:G$36,G23)</f>
        <v>0</v>
      </c>
      <c r="I212" s="110"/>
      <c r="J212" s="110"/>
      <c r="K212" s="110"/>
      <c r="L212" s="111"/>
      <c r="M212" s="112" t="s">
        <v>166</v>
      </c>
      <c r="N212" s="110">
        <f>COUNTIF(M24:M$36,M23)</f>
        <v>0</v>
      </c>
      <c r="O212" s="110"/>
      <c r="P212" s="110"/>
      <c r="Q212" s="110"/>
      <c r="R212" s="111"/>
      <c r="S212" s="122" t="s">
        <v>166</v>
      </c>
      <c r="T212" s="110">
        <f>COUNTIF(S24:S$36,S23)</f>
        <v>0</v>
      </c>
      <c r="U212" s="110"/>
      <c r="V212" s="110"/>
      <c r="W212" s="110"/>
      <c r="X212" s="111"/>
      <c r="Y212" s="122" t="s">
        <v>166</v>
      </c>
      <c r="Z212" s="110">
        <f>COUNTIF(Y24:Y$36,Y23)</f>
        <v>0</v>
      </c>
      <c r="AA212" s="110"/>
      <c r="AB212" s="110"/>
      <c r="AC212" s="110"/>
      <c r="AD212" s="111"/>
    </row>
    <row r="213" spans="1:30" ht="12.75" hidden="1">
      <c r="A213" s="112" t="s">
        <v>167</v>
      </c>
      <c r="B213" s="110">
        <f>COUNTIF(A25:$A$36,A24)</f>
        <v>0</v>
      </c>
      <c r="C213" s="110"/>
      <c r="D213" s="110"/>
      <c r="E213" s="110"/>
      <c r="F213" s="121"/>
      <c r="G213" s="112" t="s">
        <v>167</v>
      </c>
      <c r="H213" s="110">
        <f>COUNTIF(G25:G$36,G24)</f>
        <v>0</v>
      </c>
      <c r="I213" s="110"/>
      <c r="J213" s="110"/>
      <c r="K213" s="110"/>
      <c r="L213" s="111"/>
      <c r="M213" s="112" t="s">
        <v>167</v>
      </c>
      <c r="N213" s="110">
        <f>COUNTIF(M25:M$36,M24)</f>
        <v>0</v>
      </c>
      <c r="O213" s="110"/>
      <c r="P213" s="110"/>
      <c r="Q213" s="110"/>
      <c r="R213" s="111"/>
      <c r="S213" s="122" t="s">
        <v>167</v>
      </c>
      <c r="T213" s="110">
        <f>COUNTIF(S25:S$36,S24)</f>
        <v>0</v>
      </c>
      <c r="U213" s="110"/>
      <c r="V213" s="110"/>
      <c r="W213" s="110"/>
      <c r="X213" s="111"/>
      <c r="Y213" s="122" t="s">
        <v>167</v>
      </c>
      <c r="Z213" s="110">
        <f>COUNTIF(Y25:Y$36,Y24)</f>
        <v>0</v>
      </c>
      <c r="AA213" s="110"/>
      <c r="AB213" s="110"/>
      <c r="AC213" s="110"/>
      <c r="AD213" s="111"/>
    </row>
    <row r="214" spans="1:30" ht="12.75" hidden="1">
      <c r="A214" s="112" t="s">
        <v>168</v>
      </c>
      <c r="B214" s="110">
        <f>COUNTIF(A26:$A$36,A25)</f>
        <v>0</v>
      </c>
      <c r="C214" s="110"/>
      <c r="D214" s="110"/>
      <c r="E214" s="110"/>
      <c r="F214" s="121"/>
      <c r="G214" s="112" t="s">
        <v>168</v>
      </c>
      <c r="H214" s="110">
        <f>COUNTIF(G26:G$36,G25)</f>
        <v>0</v>
      </c>
      <c r="I214" s="110"/>
      <c r="J214" s="110"/>
      <c r="K214" s="110"/>
      <c r="L214" s="111"/>
      <c r="M214" s="112" t="s">
        <v>168</v>
      </c>
      <c r="N214" s="110">
        <f>COUNTIF(M26:M$36,M25)</f>
        <v>0</v>
      </c>
      <c r="O214" s="110"/>
      <c r="P214" s="110"/>
      <c r="Q214" s="110"/>
      <c r="R214" s="111"/>
      <c r="S214" s="122" t="s">
        <v>168</v>
      </c>
      <c r="T214" s="110">
        <f>COUNTIF(S26:S$36,S25)</f>
        <v>0</v>
      </c>
      <c r="U214" s="110"/>
      <c r="V214" s="110"/>
      <c r="W214" s="110"/>
      <c r="X214" s="111"/>
      <c r="Y214" s="122" t="s">
        <v>168</v>
      </c>
      <c r="Z214" s="110">
        <f>COUNTIF(Y26:Y$36,Y25)</f>
        <v>0</v>
      </c>
      <c r="AA214" s="110"/>
      <c r="AB214" s="110"/>
      <c r="AC214" s="110"/>
      <c r="AD214" s="111"/>
    </row>
    <row r="215" spans="1:30" ht="12.75" hidden="1">
      <c r="A215" s="112" t="s">
        <v>169</v>
      </c>
      <c r="B215" s="110">
        <f>COUNTIF(A27:$A$36,A26)</f>
        <v>0</v>
      </c>
      <c r="C215" s="110"/>
      <c r="D215" s="110"/>
      <c r="E215" s="110"/>
      <c r="F215" s="121"/>
      <c r="G215" s="112" t="s">
        <v>169</v>
      </c>
      <c r="H215" s="110">
        <f>COUNTIF(G27:G$36,G26)</f>
        <v>0</v>
      </c>
      <c r="I215" s="110"/>
      <c r="J215" s="110"/>
      <c r="K215" s="110"/>
      <c r="L215" s="111"/>
      <c r="M215" s="112" t="s">
        <v>169</v>
      </c>
      <c r="N215" s="110">
        <f>COUNTIF(M27:M$36,M26)</f>
        <v>0</v>
      </c>
      <c r="O215" s="110"/>
      <c r="P215" s="110"/>
      <c r="Q215" s="110"/>
      <c r="R215" s="111"/>
      <c r="S215" s="122" t="s">
        <v>169</v>
      </c>
      <c r="T215" s="110">
        <f>COUNTIF(S27:S$36,S26)</f>
        <v>0</v>
      </c>
      <c r="U215" s="110"/>
      <c r="V215" s="110"/>
      <c r="W215" s="110"/>
      <c r="X215" s="111"/>
      <c r="Y215" s="122" t="s">
        <v>169</v>
      </c>
      <c r="Z215" s="110">
        <f>COUNTIF(Y27:Y$36,Y26)</f>
        <v>0</v>
      </c>
      <c r="AA215" s="110"/>
      <c r="AB215" s="110"/>
      <c r="AC215" s="110"/>
      <c r="AD215" s="111"/>
    </row>
    <row r="216" spans="1:30" ht="12.75" hidden="1">
      <c r="A216" s="112" t="s">
        <v>170</v>
      </c>
      <c r="B216" s="110">
        <f>COUNTIF(A28:$A$36,A27)</f>
        <v>0</v>
      </c>
      <c r="C216" s="110"/>
      <c r="D216" s="110"/>
      <c r="E216" s="110"/>
      <c r="F216" s="121"/>
      <c r="G216" s="112" t="s">
        <v>170</v>
      </c>
      <c r="H216" s="110">
        <f>COUNTIF(G28:G$36,G27)</f>
        <v>0</v>
      </c>
      <c r="I216" s="110"/>
      <c r="J216" s="110"/>
      <c r="K216" s="110"/>
      <c r="L216" s="111"/>
      <c r="M216" s="112" t="s">
        <v>170</v>
      </c>
      <c r="N216" s="110">
        <f>COUNTIF(M28:M$36,M27)</f>
        <v>0</v>
      </c>
      <c r="O216" s="110"/>
      <c r="P216" s="110"/>
      <c r="Q216" s="110"/>
      <c r="R216" s="111"/>
      <c r="S216" s="122" t="s">
        <v>170</v>
      </c>
      <c r="T216" s="110">
        <f>COUNTIF(S28:S$36,S27)</f>
        <v>0</v>
      </c>
      <c r="U216" s="110"/>
      <c r="V216" s="110"/>
      <c r="W216" s="110"/>
      <c r="X216" s="111"/>
      <c r="Y216" s="122" t="s">
        <v>170</v>
      </c>
      <c r="Z216" s="110">
        <f>COUNTIF(Y28:Y$36,Y27)</f>
        <v>0</v>
      </c>
      <c r="AA216" s="110"/>
      <c r="AB216" s="110"/>
      <c r="AC216" s="110"/>
      <c r="AD216" s="111"/>
    </row>
    <row r="217" spans="1:30" ht="12.75" hidden="1">
      <c r="A217" s="112" t="s">
        <v>171</v>
      </c>
      <c r="B217" s="110">
        <f>COUNTIF(A29:$A$36,A28)</f>
        <v>0</v>
      </c>
      <c r="C217" s="110"/>
      <c r="D217" s="110"/>
      <c r="E217" s="110"/>
      <c r="F217" s="121"/>
      <c r="G217" s="112" t="s">
        <v>171</v>
      </c>
      <c r="H217" s="110">
        <f>COUNTIF(G29:G$36,G28)</f>
        <v>0</v>
      </c>
      <c r="I217" s="110"/>
      <c r="J217" s="110"/>
      <c r="K217" s="110"/>
      <c r="L217" s="111"/>
      <c r="M217" s="112" t="s">
        <v>171</v>
      </c>
      <c r="N217" s="110">
        <f>COUNTIF(M29:M$36,M28)</f>
        <v>0</v>
      </c>
      <c r="O217" s="110"/>
      <c r="P217" s="110"/>
      <c r="Q217" s="110"/>
      <c r="R217" s="111"/>
      <c r="S217" s="122" t="s">
        <v>171</v>
      </c>
      <c r="T217" s="110">
        <f>COUNTIF(S29:S$36,S28)</f>
        <v>0</v>
      </c>
      <c r="U217" s="110"/>
      <c r="V217" s="110"/>
      <c r="W217" s="110"/>
      <c r="X217" s="111"/>
      <c r="Y217" s="122" t="s">
        <v>171</v>
      </c>
      <c r="Z217" s="110">
        <f>COUNTIF(Y29:Y$36,Y28)</f>
        <v>0</v>
      </c>
      <c r="AA217" s="110"/>
      <c r="AB217" s="110"/>
      <c r="AC217" s="110"/>
      <c r="AD217" s="111"/>
    </row>
    <row r="218" spans="1:30" ht="12.75" hidden="1">
      <c r="A218" s="112" t="s">
        <v>172</v>
      </c>
      <c r="B218" s="110">
        <f>COUNTIF(A30:$A$36,A29)</f>
        <v>0</v>
      </c>
      <c r="C218" s="110"/>
      <c r="D218" s="110"/>
      <c r="E218" s="110"/>
      <c r="F218" s="121"/>
      <c r="G218" s="112" t="s">
        <v>172</v>
      </c>
      <c r="H218" s="110">
        <f>COUNTIF(G30:G$36,G29)</f>
        <v>0</v>
      </c>
      <c r="I218" s="110"/>
      <c r="J218" s="110"/>
      <c r="K218" s="110"/>
      <c r="L218" s="111"/>
      <c r="M218" s="112" t="s">
        <v>172</v>
      </c>
      <c r="N218" s="110">
        <f>COUNTIF(M30:M$36,M29)</f>
        <v>0</v>
      </c>
      <c r="O218" s="110"/>
      <c r="P218" s="110"/>
      <c r="Q218" s="110"/>
      <c r="R218" s="111"/>
      <c r="S218" s="122" t="s">
        <v>172</v>
      </c>
      <c r="T218" s="110">
        <f>COUNTIF(S30:S$36,S29)</f>
        <v>0</v>
      </c>
      <c r="U218" s="110"/>
      <c r="V218" s="110"/>
      <c r="W218" s="110"/>
      <c r="X218" s="111"/>
      <c r="Y218" s="122" t="s">
        <v>172</v>
      </c>
      <c r="Z218" s="110">
        <f>COUNTIF(Y30:Y$36,Y29)</f>
        <v>0</v>
      </c>
      <c r="AA218" s="110"/>
      <c r="AB218" s="110"/>
      <c r="AC218" s="110"/>
      <c r="AD218" s="111"/>
    </row>
    <row r="219" spans="1:30" ht="12.75" hidden="1">
      <c r="A219" s="112" t="s">
        <v>173</v>
      </c>
      <c r="B219" s="110">
        <f>COUNTIF(A31:$A$36,A30)</f>
        <v>0</v>
      </c>
      <c r="C219" s="110"/>
      <c r="D219" s="110"/>
      <c r="E219" s="110"/>
      <c r="F219" s="121"/>
      <c r="G219" s="112" t="s">
        <v>173</v>
      </c>
      <c r="H219" s="110">
        <f>COUNTIF(G31:G$36,G30)</f>
        <v>0</v>
      </c>
      <c r="I219" s="110"/>
      <c r="J219" s="110"/>
      <c r="K219" s="110"/>
      <c r="L219" s="111"/>
      <c r="M219" s="112" t="s">
        <v>173</v>
      </c>
      <c r="N219" s="110">
        <f>COUNTIF(M31:M$36,M30)</f>
        <v>0</v>
      </c>
      <c r="O219" s="110"/>
      <c r="P219" s="110"/>
      <c r="Q219" s="110"/>
      <c r="R219" s="111"/>
      <c r="S219" s="122" t="s">
        <v>173</v>
      </c>
      <c r="T219" s="110">
        <f>COUNTIF(S31:S$36,S30)</f>
        <v>0</v>
      </c>
      <c r="U219" s="110"/>
      <c r="V219" s="110"/>
      <c r="W219" s="110"/>
      <c r="X219" s="111"/>
      <c r="Y219" s="122" t="s">
        <v>173</v>
      </c>
      <c r="Z219" s="110">
        <f>COUNTIF(Y31:Y$36,Y30)</f>
        <v>0</v>
      </c>
      <c r="AA219" s="110"/>
      <c r="AB219" s="110"/>
      <c r="AC219" s="110"/>
      <c r="AD219" s="111"/>
    </row>
    <row r="220" spans="1:30" ht="12.75" hidden="1">
      <c r="A220" s="112" t="s">
        <v>174</v>
      </c>
      <c r="B220" s="110">
        <f>COUNTIF(A32:$A$36,A31)</f>
        <v>0</v>
      </c>
      <c r="C220" s="110"/>
      <c r="D220" s="110"/>
      <c r="E220" s="110"/>
      <c r="F220" s="121"/>
      <c r="G220" s="112" t="s">
        <v>174</v>
      </c>
      <c r="H220" s="110">
        <f>COUNTIF(G32:G$36,G31)</f>
        <v>0</v>
      </c>
      <c r="I220" s="110"/>
      <c r="J220" s="110"/>
      <c r="K220" s="110"/>
      <c r="L220" s="111"/>
      <c r="M220" s="112" t="s">
        <v>174</v>
      </c>
      <c r="N220" s="110">
        <f>COUNTIF(M32:M$36,M31)</f>
        <v>0</v>
      </c>
      <c r="O220" s="110"/>
      <c r="P220" s="110"/>
      <c r="Q220" s="110"/>
      <c r="R220" s="111"/>
      <c r="S220" s="122" t="s">
        <v>174</v>
      </c>
      <c r="T220" s="110">
        <f>COUNTIF(S32:S$36,S31)</f>
        <v>0</v>
      </c>
      <c r="U220" s="110"/>
      <c r="V220" s="110"/>
      <c r="W220" s="110"/>
      <c r="X220" s="111"/>
      <c r="Y220" s="122" t="s">
        <v>174</v>
      </c>
      <c r="Z220" s="110">
        <f>COUNTIF(Y32:Y$36,Y31)</f>
        <v>0</v>
      </c>
      <c r="AA220" s="110"/>
      <c r="AB220" s="110"/>
      <c r="AC220" s="110"/>
      <c r="AD220" s="111"/>
    </row>
    <row r="221" spans="1:30" ht="12.75" hidden="1">
      <c r="A221" s="112" t="s">
        <v>175</v>
      </c>
      <c r="B221" s="110">
        <f>COUNTIF(A33:$A$36,A32)</f>
        <v>0</v>
      </c>
      <c r="C221" s="110"/>
      <c r="D221" s="110"/>
      <c r="E221" s="110"/>
      <c r="F221" s="121"/>
      <c r="G221" s="112" t="s">
        <v>175</v>
      </c>
      <c r="H221" s="110">
        <f>COUNTIF(G33:G$36,G32)</f>
        <v>0</v>
      </c>
      <c r="I221" s="110"/>
      <c r="J221" s="110"/>
      <c r="K221" s="110"/>
      <c r="L221" s="111"/>
      <c r="M221" s="112" t="s">
        <v>175</v>
      </c>
      <c r="N221" s="110">
        <f>COUNTIF(M33:M$36,M32)</f>
        <v>0</v>
      </c>
      <c r="O221" s="110"/>
      <c r="P221" s="110"/>
      <c r="Q221" s="110"/>
      <c r="R221" s="111"/>
      <c r="S221" s="122" t="s">
        <v>175</v>
      </c>
      <c r="T221" s="110">
        <f>COUNTIF(S33:S$36,S32)</f>
        <v>0</v>
      </c>
      <c r="U221" s="110"/>
      <c r="V221" s="110"/>
      <c r="W221" s="110"/>
      <c r="X221" s="111"/>
      <c r="Y221" s="122" t="s">
        <v>175</v>
      </c>
      <c r="Z221" s="110">
        <f>COUNTIF(Y33:Y$36,Y32)</f>
        <v>0</v>
      </c>
      <c r="AA221" s="110"/>
      <c r="AB221" s="110"/>
      <c r="AC221" s="110"/>
      <c r="AD221" s="111"/>
    </row>
    <row r="222" spans="1:30" ht="12.75" hidden="1">
      <c r="A222" s="112" t="s">
        <v>176</v>
      </c>
      <c r="B222" s="110">
        <f>COUNTIF(A34:$A$36,A33)</f>
        <v>0</v>
      </c>
      <c r="C222" s="110"/>
      <c r="D222" s="110"/>
      <c r="E222" s="110"/>
      <c r="F222" s="121"/>
      <c r="G222" s="112" t="s">
        <v>176</v>
      </c>
      <c r="H222" s="110">
        <f>COUNTIF(G34:G$36,G33)</f>
        <v>0</v>
      </c>
      <c r="I222" s="110"/>
      <c r="J222" s="110"/>
      <c r="K222" s="110"/>
      <c r="L222" s="111"/>
      <c r="M222" s="112" t="s">
        <v>176</v>
      </c>
      <c r="N222" s="110">
        <f>COUNTIF(M34:M$36,M33)</f>
        <v>0</v>
      </c>
      <c r="O222" s="110"/>
      <c r="P222" s="110"/>
      <c r="Q222" s="110"/>
      <c r="R222" s="111"/>
      <c r="S222" s="122" t="s">
        <v>176</v>
      </c>
      <c r="T222" s="110">
        <f>COUNTIF(S34:S$36,S33)</f>
        <v>0</v>
      </c>
      <c r="U222" s="110"/>
      <c r="V222" s="110"/>
      <c r="W222" s="110"/>
      <c r="X222" s="111"/>
      <c r="Y222" s="122" t="s">
        <v>176</v>
      </c>
      <c r="Z222" s="110">
        <f>COUNTIF(Y34:Y$36,Y33)</f>
        <v>0</v>
      </c>
      <c r="AA222" s="110"/>
      <c r="AB222" s="110"/>
      <c r="AC222" s="110"/>
      <c r="AD222" s="111"/>
    </row>
    <row r="223" spans="1:30" ht="12.75" hidden="1">
      <c r="A223" s="112" t="s">
        <v>177</v>
      </c>
      <c r="B223" s="110">
        <f>COUNTIF(A35:$A$36,A34)</f>
        <v>0</v>
      </c>
      <c r="C223" s="110"/>
      <c r="D223" s="110"/>
      <c r="E223" s="110"/>
      <c r="F223" s="121"/>
      <c r="G223" s="112" t="s">
        <v>177</v>
      </c>
      <c r="H223" s="110">
        <f>COUNTIF(G35:G$36,G34)</f>
        <v>0</v>
      </c>
      <c r="I223" s="110"/>
      <c r="J223" s="110"/>
      <c r="K223" s="110"/>
      <c r="L223" s="111"/>
      <c r="M223" s="112" t="s">
        <v>177</v>
      </c>
      <c r="N223" s="110">
        <f>COUNTIF(M35:M$36,M34)</f>
        <v>0</v>
      </c>
      <c r="O223" s="110"/>
      <c r="P223" s="110"/>
      <c r="Q223" s="110"/>
      <c r="R223" s="111"/>
      <c r="S223" s="122" t="s">
        <v>177</v>
      </c>
      <c r="T223" s="110">
        <f>COUNTIF(S35:S$36,S34)</f>
        <v>0</v>
      </c>
      <c r="U223" s="110"/>
      <c r="V223" s="110"/>
      <c r="W223" s="110"/>
      <c r="X223" s="111"/>
      <c r="Y223" s="122" t="s">
        <v>177</v>
      </c>
      <c r="Z223" s="110">
        <f>COUNTIF(Y35:Y$36,Y34)</f>
        <v>0</v>
      </c>
      <c r="AA223" s="110"/>
      <c r="AB223" s="110"/>
      <c r="AC223" s="110"/>
      <c r="AD223" s="111"/>
    </row>
    <row r="224" spans="1:30" ht="13.5" hidden="1" thickBot="1">
      <c r="A224" s="123" t="s">
        <v>17</v>
      </c>
      <c r="B224" s="110">
        <f>SUM(B206:B223)</f>
        <v>0</v>
      </c>
      <c r="C224" s="124"/>
      <c r="D224" s="124"/>
      <c r="E224" s="124"/>
      <c r="F224" s="125"/>
      <c r="G224" s="123" t="s">
        <v>17</v>
      </c>
      <c r="H224" s="110">
        <f>SUM(H206:H223)</f>
        <v>0</v>
      </c>
      <c r="I224" s="124"/>
      <c r="J224" s="124"/>
      <c r="K224" s="124"/>
      <c r="L224" s="126"/>
      <c r="M224" s="123" t="s">
        <v>17</v>
      </c>
      <c r="N224" s="110">
        <f>SUM(N206:N223)</f>
        <v>0</v>
      </c>
      <c r="O224" s="124"/>
      <c r="P224" s="124"/>
      <c r="Q224" s="124"/>
      <c r="R224" s="126"/>
      <c r="S224" s="127" t="s">
        <v>17</v>
      </c>
      <c r="T224" s="110">
        <f>SUM(T206:T223)</f>
        <v>0</v>
      </c>
      <c r="U224" s="124"/>
      <c r="V224" s="124"/>
      <c r="W224" s="124"/>
      <c r="X224" s="126"/>
      <c r="Y224" s="127" t="s">
        <v>17</v>
      </c>
      <c r="Z224" s="110">
        <f>SUM(Z206:Z223)</f>
        <v>0</v>
      </c>
      <c r="AA224" s="124"/>
      <c r="AB224" s="124"/>
      <c r="AC224" s="124"/>
      <c r="AD224" s="126"/>
    </row>
    <row r="225" ht="12.75" hidden="1"/>
    <row r="226" spans="1:30" ht="12.75" hidden="1">
      <c r="A226" s="219" t="s">
        <v>286</v>
      </c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</row>
    <row r="227" ht="13.5" hidden="1" thickBot="1"/>
    <row r="228" spans="1:30" ht="12.75" hidden="1">
      <c r="A228" s="222" t="s">
        <v>289</v>
      </c>
      <c r="B228" s="223"/>
      <c r="C228" s="223"/>
      <c r="D228" s="223"/>
      <c r="E228" s="223"/>
      <c r="F228" s="224"/>
      <c r="G228" s="222" t="s">
        <v>289</v>
      </c>
      <c r="H228" s="223"/>
      <c r="I228" s="223"/>
      <c r="J228" s="223"/>
      <c r="K228" s="223"/>
      <c r="L228" s="224"/>
      <c r="M228" s="222" t="s">
        <v>289</v>
      </c>
      <c r="N228" s="223"/>
      <c r="O228" s="223"/>
      <c r="P228" s="223"/>
      <c r="Q228" s="223"/>
      <c r="R228" s="224"/>
      <c r="S228" s="222" t="s">
        <v>289</v>
      </c>
      <c r="T228" s="223"/>
      <c r="U228" s="223"/>
      <c r="V228" s="223"/>
      <c r="W228" s="223"/>
      <c r="X228" s="224"/>
      <c r="Y228" s="222" t="s">
        <v>289</v>
      </c>
      <c r="Z228" s="223"/>
      <c r="AA228" s="223"/>
      <c r="AB228" s="223"/>
      <c r="AC228" s="223"/>
      <c r="AD228" s="224"/>
    </row>
    <row r="229" spans="1:30" ht="13.5" hidden="1" thickBot="1">
      <c r="A229" s="160"/>
      <c r="B229" s="161"/>
      <c r="C229" s="161"/>
      <c r="D229" s="161"/>
      <c r="E229" s="161"/>
      <c r="F229" s="225"/>
      <c r="G229" s="160"/>
      <c r="H229" s="161"/>
      <c r="I229" s="161"/>
      <c r="J229" s="161"/>
      <c r="K229" s="161"/>
      <c r="L229" s="225"/>
      <c r="M229" s="160"/>
      <c r="N229" s="161"/>
      <c r="O229" s="161"/>
      <c r="P229" s="161"/>
      <c r="Q229" s="161"/>
      <c r="R229" s="225"/>
      <c r="S229" s="160"/>
      <c r="T229" s="161"/>
      <c r="U229" s="161"/>
      <c r="V229" s="161"/>
      <c r="W229" s="161"/>
      <c r="X229" s="225"/>
      <c r="Y229" s="160"/>
      <c r="Z229" s="161"/>
      <c r="AA229" s="161"/>
      <c r="AB229" s="161"/>
      <c r="AC229" s="161"/>
      <c r="AD229" s="225"/>
    </row>
    <row r="230" ht="12.75" hidden="1"/>
    <row r="231" spans="2:30" ht="13.5" hidden="1" thickBot="1">
      <c r="B231" t="s">
        <v>285</v>
      </c>
      <c r="C231" t="s">
        <v>11</v>
      </c>
      <c r="F231" t="s">
        <v>41</v>
      </c>
      <c r="H231" t="s">
        <v>285</v>
      </c>
      <c r="I231" t="s">
        <v>11</v>
      </c>
      <c r="L231" t="s">
        <v>41</v>
      </c>
      <c r="N231" t="s">
        <v>285</v>
      </c>
      <c r="O231" t="s">
        <v>11</v>
      </c>
      <c r="R231" t="s">
        <v>41</v>
      </c>
      <c r="T231" t="s">
        <v>285</v>
      </c>
      <c r="U231" t="s">
        <v>11</v>
      </c>
      <c r="X231" t="s">
        <v>41</v>
      </c>
      <c r="Z231" t="s">
        <v>285</v>
      </c>
      <c r="AA231" t="s">
        <v>11</v>
      </c>
      <c r="AD231" t="s">
        <v>41</v>
      </c>
    </row>
    <row r="232" spans="1:30" ht="13.5" hidden="1" thickBot="1">
      <c r="A232" s="226" t="s">
        <v>265</v>
      </c>
      <c r="B232" s="218" t="str">
        <f>IF(AG17="GK","",IF(AG17="GK/SW","",IF(AG17="GS","",IF(AG17="SUT","","ILLEGAL GK"))))</f>
        <v>ILLEGAL GK</v>
      </c>
      <c r="C232" s="218"/>
      <c r="D232" s="218"/>
      <c r="E232" s="218"/>
      <c r="F232" s="232" t="str">
        <f>LOOKUP(A17,squad!$B$18:$B$59,squad!$G$18:$G$59)</f>
        <v> </v>
      </c>
      <c r="G232" s="216" t="s">
        <v>304</v>
      </c>
      <c r="H232" s="217" t="str">
        <f>IF(AH17="GK","",IF(AH17="GK/SW","",IF(AH17="GS","",IF(AH17="SUT","","ILLEGAL GK"))))</f>
        <v>ILLEGAL GK</v>
      </c>
      <c r="I232" s="217"/>
      <c r="J232" s="217"/>
      <c r="K232" s="217"/>
      <c r="L232" s="245" t="str">
        <f>LOOKUP(G17,squad!$B$18:$B$59,squad!$G$18:$G$59)</f>
        <v> </v>
      </c>
      <c r="M232" s="226" t="s">
        <v>324</v>
      </c>
      <c r="N232" s="218" t="str">
        <f>IF(AI17="GK","",IF(AI17="GK/SW","",IF(AI17="GS","",IF(AI17="SUT","","ILLEGAL GK"))))</f>
        <v>ILLEGAL GK</v>
      </c>
      <c r="O232" s="218"/>
      <c r="P232" s="218"/>
      <c r="Q232" s="218"/>
      <c r="R232" s="232" t="str">
        <f>LOOKUP(M17,squad!$B$18:$B$59,squad!$G$18:$G$59)</f>
        <v> </v>
      </c>
      <c r="S232" s="218" t="s">
        <v>344</v>
      </c>
      <c r="T232" s="218" t="str">
        <f>IF(AJ17="GK","",IF(AJ17="GK/SW","",IF(AJ17="GS","",IF(AJ17="SUT","","ILLEGAL GK"))))</f>
        <v>ILLEGAL GK</v>
      </c>
      <c r="U232" s="218"/>
      <c r="V232" s="218"/>
      <c r="W232" s="218"/>
      <c r="X232" s="232" t="str">
        <f>LOOKUP(S17,squad!$B$18:$B$59,squad!$G$18:$G$59)</f>
        <v> </v>
      </c>
      <c r="Y232" s="218" t="s">
        <v>364</v>
      </c>
      <c r="Z232" s="218" t="str">
        <f>IF(AK17="GK","",IF(AK17="GK/SW","",IF(AK17="GS","",IF(AK17="SUT","","ILLEGAL GK"))))</f>
        <v>ILLEGAL GK</v>
      </c>
      <c r="AA232" s="218"/>
      <c r="AB232" s="218"/>
      <c r="AC232" s="218"/>
      <c r="AD232" s="232" t="str">
        <f>LOOKUP(Y17,squad!$B$18:$B$59,squad!$G$18:$G$59)</f>
        <v> </v>
      </c>
    </row>
    <row r="233" spans="1:30" ht="13.5" hidden="1" thickBot="1">
      <c r="A233" s="216" t="s">
        <v>266</v>
      </c>
      <c r="B233" s="217">
        <f>IF(AND(AG17="GS",A18&lt;&gt;""),3,0)</f>
        <v>0</v>
      </c>
      <c r="C233" s="217"/>
      <c r="D233" s="217"/>
      <c r="E233" s="217"/>
      <c r="F233" s="245" t="str">
        <f>LOOKUP(A18,squad!$B$18:$B$59,squad!$G$18:$G$59)</f>
        <v> </v>
      </c>
      <c r="G233" s="221" t="s">
        <v>305</v>
      </c>
      <c r="H233" s="26">
        <f>IF(AND(AH17="GS",G18&lt;&gt;""),3,0)</f>
        <v>0</v>
      </c>
      <c r="I233" s="26"/>
      <c r="J233" s="26"/>
      <c r="K233" s="26"/>
      <c r="L233" s="231" t="str">
        <f>LOOKUP(G18,squad!$B$18:$B$59,squad!$G$18:$G$59)</f>
        <v> </v>
      </c>
      <c r="M233" s="216" t="s">
        <v>325</v>
      </c>
      <c r="N233" s="217">
        <f>IF(AND(AI17="GS",M18&lt;&gt;""),3,0)</f>
        <v>0</v>
      </c>
      <c r="O233" s="217"/>
      <c r="P233" s="217"/>
      <c r="Q233" s="217"/>
      <c r="R233" s="245" t="str">
        <f>LOOKUP(M18,squad!$B$18:$B$59,squad!$G$18:$G$59)</f>
        <v> </v>
      </c>
      <c r="S233" s="217" t="s">
        <v>345</v>
      </c>
      <c r="T233" s="217">
        <f>IF(AND(AJ17="GS",S18&lt;&gt;""),3,0)</f>
        <v>0</v>
      </c>
      <c r="U233" s="217"/>
      <c r="V233" s="217"/>
      <c r="W233" s="217"/>
      <c r="X233" s="245" t="str">
        <f>LOOKUP(S18,squad!$B$18:$B$59,squad!$G$18:$G$59)</f>
        <v> </v>
      </c>
      <c r="Y233" s="217" t="s">
        <v>365</v>
      </c>
      <c r="Z233" s="217">
        <f>IF(AND(AK17="GS",Y18&lt;&gt;""),3,0)</f>
        <v>0</v>
      </c>
      <c r="AA233" s="217"/>
      <c r="AB233" s="217"/>
      <c r="AC233" s="217"/>
      <c r="AD233" s="245" t="str">
        <f>LOOKUP(Y18,squad!$B$18:$B$59,squad!$G$18:$G$59)</f>
        <v> </v>
      </c>
    </row>
    <row r="234" spans="1:30" ht="12.75" hidden="1">
      <c r="A234" s="243" t="s">
        <v>267</v>
      </c>
      <c r="B234" s="1">
        <f aca="true" t="shared" si="71" ref="B234:B239">IF(AND(AG19&lt;&gt;"GK",AG19&lt;&gt;"GS",AG19&lt;&gt;"GK/SW",AG19&lt;&gt;"MF",AG19&lt;&gt;"MF/FW",AG19&lt;&gt;"MLM",AG19&lt;&gt;"LK",AG19&lt;&gt;"FW",AG19&lt;&gt;"LS",AG19&lt;&gt;"WG",AG19&lt;&gt;"AM",AG19&lt;&gt;"DM"),0,-1)</f>
        <v>0</v>
      </c>
      <c r="C234" s="1"/>
      <c r="D234" s="1"/>
      <c r="E234" s="1"/>
      <c r="F234" s="230" t="str">
        <f>LOOKUP(A19,squad!$B$18:$B$59,squad!$G$18:$G$59)</f>
        <v> </v>
      </c>
      <c r="G234" s="226" t="s">
        <v>306</v>
      </c>
      <c r="H234" s="218">
        <f aca="true" t="shared" si="72" ref="H234:H239">IF(AND(AH19&lt;&gt;"GK",AH19&lt;&gt;"GS",AH19&lt;&gt;"GK/SW",AH19&lt;&gt;"MF",AH19&lt;&gt;"MF/FW",AH19&lt;&gt;"MLM",AH19&lt;&gt;"LK",AH19&lt;&gt;"FW",AH19&lt;&gt;"LS",AH19&lt;&gt;"WG",AH19&lt;&gt;"AM",AH19&lt;&gt;"DM"),0,-1)</f>
        <v>0</v>
      </c>
      <c r="I234" s="218"/>
      <c r="J234" s="218"/>
      <c r="K234" s="218"/>
      <c r="L234" s="247" t="str">
        <f>LOOKUP(G19,squad!$B$18:$B$59,squad!$G$18:$G$59)</f>
        <v> </v>
      </c>
      <c r="M234" s="25" t="s">
        <v>326</v>
      </c>
      <c r="N234" s="1">
        <f aca="true" t="shared" si="73" ref="N234:N239">IF(AND(AI19&lt;&gt;"GK",AI19&lt;&gt;"GS",AI19&lt;&gt;"GK/SW",AI19&lt;&gt;"MF",AI19&lt;&gt;"MF/FW",AI19&lt;&gt;"MLM",AI19&lt;&gt;"LK",AI19&lt;&gt;"FW",AI19&lt;&gt;"LS",AI19&lt;&gt;"WG",AI19&lt;&gt;"AM",AI19&lt;&gt;"DM"),0,-1)</f>
        <v>0</v>
      </c>
      <c r="O234" s="1"/>
      <c r="P234" s="1"/>
      <c r="Q234" s="1"/>
      <c r="R234" s="230" t="str">
        <f>LOOKUP(M19,squad!$B$18:$B$59,squad!$G$18:$G$59)</f>
        <v> </v>
      </c>
      <c r="S234" s="1" t="s">
        <v>346</v>
      </c>
      <c r="T234" s="1">
        <f aca="true" t="shared" si="74" ref="T234:T239">IF(AND(AJ19&lt;&gt;"GK",AJ19&lt;&gt;"GS",AJ19&lt;&gt;"GK/SW",AJ19&lt;&gt;"MF",AJ19&lt;&gt;"MF/FW",AJ19&lt;&gt;"MLM",AJ19&lt;&gt;"LK",AJ19&lt;&gt;"FW",AJ19&lt;&gt;"LS",AJ19&lt;&gt;"WG",AJ19&lt;&gt;"AM",AJ19&lt;&gt;"DM"),0,-1)</f>
        <v>0</v>
      </c>
      <c r="U234" s="1"/>
      <c r="V234" s="1"/>
      <c r="W234" s="1"/>
      <c r="X234" s="230" t="str">
        <f>LOOKUP(S19,squad!$B$18:$B$59,squad!$G$18:$G$59)</f>
        <v> </v>
      </c>
      <c r="Y234" s="1" t="s">
        <v>366</v>
      </c>
      <c r="Z234" s="1">
        <f aca="true" t="shared" si="75" ref="Z234:Z239">IF(AND(AK19&lt;&gt;"GK",AK19&lt;&gt;"GS",AK19&lt;&gt;"GK/SW",AK19&lt;&gt;"MF",AK19&lt;&gt;"MF/FW",AK19&lt;&gt;"MLM",AK19&lt;&gt;"LK",AK19&lt;&gt;"FW",AK19&lt;&gt;"LS",AK19&lt;&gt;"WG",AK19&lt;&gt;"AM",AK19&lt;&gt;"DM"),0,-1)</f>
        <v>0</v>
      </c>
      <c r="AA234" s="1"/>
      <c r="AB234" s="1"/>
      <c r="AC234" s="1"/>
      <c r="AD234" s="230" t="str">
        <f>LOOKUP(Y19,squad!$B$18:$B$59,squad!$G$18:$G$59)</f>
        <v> </v>
      </c>
    </row>
    <row r="235" spans="1:30" ht="12.75" hidden="1">
      <c r="A235" s="243" t="s">
        <v>268</v>
      </c>
      <c r="B235" s="1">
        <f t="shared" si="71"/>
        <v>0</v>
      </c>
      <c r="C235" s="1"/>
      <c r="D235" s="1"/>
      <c r="E235" s="1"/>
      <c r="F235" s="230" t="str">
        <f>LOOKUP(A20,squad!$B$18:$B$59,squad!$G$18:$G$59)</f>
        <v> </v>
      </c>
      <c r="G235" s="25" t="s">
        <v>307</v>
      </c>
      <c r="H235" s="1">
        <f t="shared" si="72"/>
        <v>0</v>
      </c>
      <c r="I235" s="1"/>
      <c r="J235" s="1"/>
      <c r="K235" s="1"/>
      <c r="L235" s="41" t="str">
        <f>LOOKUP(G20,squad!$B$18:$B$59,squad!$G$18:$G$59)</f>
        <v> </v>
      </c>
      <c r="M235" s="25" t="s">
        <v>327</v>
      </c>
      <c r="N235" s="1">
        <f t="shared" si="73"/>
        <v>0</v>
      </c>
      <c r="O235" s="1"/>
      <c r="P235" s="1"/>
      <c r="Q235" s="1"/>
      <c r="R235" s="230" t="str">
        <f>LOOKUP(M20,squad!$B$18:$B$59,squad!$G$18:$G$59)</f>
        <v> </v>
      </c>
      <c r="S235" s="1" t="s">
        <v>347</v>
      </c>
      <c r="T235" s="1">
        <f t="shared" si="74"/>
        <v>0</v>
      </c>
      <c r="U235" s="1"/>
      <c r="V235" s="1"/>
      <c r="W235" s="1"/>
      <c r="X235" s="230" t="str">
        <f>LOOKUP(S20,squad!$B$18:$B$59,squad!$G$18:$G$59)</f>
        <v> </v>
      </c>
      <c r="Y235" s="1" t="s">
        <v>367</v>
      </c>
      <c r="Z235" s="1">
        <f t="shared" si="75"/>
        <v>0</v>
      </c>
      <c r="AA235" s="1"/>
      <c r="AB235" s="1"/>
      <c r="AC235" s="1"/>
      <c r="AD235" s="230" t="str">
        <f>LOOKUP(Y20,squad!$B$18:$B$59,squad!$G$18:$G$59)</f>
        <v> </v>
      </c>
    </row>
    <row r="236" spans="1:30" ht="12.75" hidden="1">
      <c r="A236" s="243" t="s">
        <v>269</v>
      </c>
      <c r="B236" s="1">
        <f t="shared" si="71"/>
        <v>0</v>
      </c>
      <c r="C236" s="1"/>
      <c r="D236" s="1"/>
      <c r="E236" s="1"/>
      <c r="F236" s="230" t="str">
        <f>LOOKUP(A21,squad!$B$18:$B$59,squad!$G$18:$G$59)</f>
        <v> </v>
      </c>
      <c r="G236" s="25" t="s">
        <v>308</v>
      </c>
      <c r="H236" s="1">
        <f t="shared" si="72"/>
        <v>0</v>
      </c>
      <c r="I236" s="1"/>
      <c r="J236" s="1"/>
      <c r="K236" s="1"/>
      <c r="L236" s="41" t="str">
        <f>LOOKUP(G21,squad!$B$18:$B$59,squad!$G$18:$G$59)</f>
        <v> </v>
      </c>
      <c r="M236" s="25" t="s">
        <v>328</v>
      </c>
      <c r="N236" s="1">
        <f t="shared" si="73"/>
        <v>0</v>
      </c>
      <c r="O236" s="1"/>
      <c r="P236" s="1"/>
      <c r="Q236" s="1"/>
      <c r="R236" s="230" t="str">
        <f>LOOKUP(M21,squad!$B$18:$B$59,squad!$G$18:$G$59)</f>
        <v> </v>
      </c>
      <c r="S236" s="1" t="s">
        <v>348</v>
      </c>
      <c r="T236" s="1">
        <f t="shared" si="74"/>
        <v>0</v>
      </c>
      <c r="U236" s="1"/>
      <c r="V236" s="1"/>
      <c r="W236" s="1"/>
      <c r="X236" s="230" t="str">
        <f>LOOKUP(S21,squad!$B$18:$B$59,squad!$G$18:$G$59)</f>
        <v> </v>
      </c>
      <c r="Y236" s="1" t="s">
        <v>368</v>
      </c>
      <c r="Z236" s="1">
        <f t="shared" si="75"/>
        <v>0</v>
      </c>
      <c r="AA236" s="1"/>
      <c r="AB236" s="1"/>
      <c r="AC236" s="1"/>
      <c r="AD236" s="230" t="str">
        <f>LOOKUP(Y21,squad!$B$18:$B$59,squad!$G$18:$G$59)</f>
        <v> </v>
      </c>
    </row>
    <row r="237" spans="1:30" ht="12.75" hidden="1">
      <c r="A237" s="243" t="s">
        <v>270</v>
      </c>
      <c r="B237" s="1">
        <f t="shared" si="71"/>
        <v>0</v>
      </c>
      <c r="C237" s="1"/>
      <c r="D237" s="1"/>
      <c r="E237" s="1"/>
      <c r="F237" s="230" t="str">
        <f>LOOKUP(A22,squad!$B$18:$B$59,squad!$G$18:$G$59)</f>
        <v> </v>
      </c>
      <c r="G237" s="25" t="s">
        <v>309</v>
      </c>
      <c r="H237" s="1">
        <f t="shared" si="72"/>
        <v>0</v>
      </c>
      <c r="I237" s="1"/>
      <c r="J237" s="1"/>
      <c r="K237" s="1"/>
      <c r="L237" s="41" t="str">
        <f>LOOKUP(G22,squad!$B$18:$B$59,squad!$G$18:$G$59)</f>
        <v> </v>
      </c>
      <c r="M237" s="25" t="s">
        <v>329</v>
      </c>
      <c r="N237" s="1">
        <f t="shared" si="73"/>
        <v>0</v>
      </c>
      <c r="O237" s="1"/>
      <c r="P237" s="1"/>
      <c r="Q237" s="1"/>
      <c r="R237" s="230" t="str">
        <f>LOOKUP(M22,squad!$B$18:$B$59,squad!$G$18:$G$59)</f>
        <v> </v>
      </c>
      <c r="S237" s="1" t="s">
        <v>349</v>
      </c>
      <c r="T237" s="1">
        <f t="shared" si="74"/>
        <v>0</v>
      </c>
      <c r="U237" s="1"/>
      <c r="V237" s="1"/>
      <c r="W237" s="1"/>
      <c r="X237" s="230" t="str">
        <f>LOOKUP(S22,squad!$B$18:$B$59,squad!$G$18:$G$59)</f>
        <v> </v>
      </c>
      <c r="Y237" s="1" t="s">
        <v>369</v>
      </c>
      <c r="Z237" s="1">
        <f t="shared" si="75"/>
        <v>0</v>
      </c>
      <c r="AA237" s="1"/>
      <c r="AB237" s="1"/>
      <c r="AC237" s="1"/>
      <c r="AD237" s="230" t="str">
        <f>LOOKUP(Y22,squad!$B$18:$B$59,squad!$G$18:$G$59)</f>
        <v> </v>
      </c>
    </row>
    <row r="238" spans="1:30" ht="12.75" hidden="1">
      <c r="A238" s="243" t="s">
        <v>271</v>
      </c>
      <c r="B238" s="1">
        <f t="shared" si="71"/>
        <v>0</v>
      </c>
      <c r="C238" s="1"/>
      <c r="D238" s="1"/>
      <c r="E238" s="1"/>
      <c r="F238" s="230" t="str">
        <f>LOOKUP(A23,squad!$B$18:$B$59,squad!$G$18:$G$59)</f>
        <v> </v>
      </c>
      <c r="G238" s="25" t="s">
        <v>310</v>
      </c>
      <c r="H238" s="1">
        <f t="shared" si="72"/>
        <v>0</v>
      </c>
      <c r="I238" s="1"/>
      <c r="J238" s="1"/>
      <c r="K238" s="1"/>
      <c r="L238" s="41" t="str">
        <f>LOOKUP(G23,squad!$B$18:$B$59,squad!$G$18:$G$59)</f>
        <v> </v>
      </c>
      <c r="M238" s="25" t="s">
        <v>330</v>
      </c>
      <c r="N238" s="1">
        <f t="shared" si="73"/>
        <v>0</v>
      </c>
      <c r="O238" s="1"/>
      <c r="P238" s="1"/>
      <c r="Q238" s="1"/>
      <c r="R238" s="230" t="str">
        <f>LOOKUP(M23,squad!$B$18:$B$59,squad!$G$18:$G$59)</f>
        <v> </v>
      </c>
      <c r="S238" s="1" t="s">
        <v>350</v>
      </c>
      <c r="T238" s="1">
        <f t="shared" si="74"/>
        <v>0</v>
      </c>
      <c r="U238" s="1"/>
      <c r="V238" s="1"/>
      <c r="W238" s="1"/>
      <c r="X238" s="230" t="str">
        <f>LOOKUP(S23,squad!$B$18:$B$59,squad!$G$18:$G$59)</f>
        <v> </v>
      </c>
      <c r="Y238" s="1" t="s">
        <v>370</v>
      </c>
      <c r="Z238" s="1">
        <f t="shared" si="75"/>
        <v>0</v>
      </c>
      <c r="AA238" s="1"/>
      <c r="AB238" s="1"/>
      <c r="AC238" s="1"/>
      <c r="AD238" s="230" t="str">
        <f>LOOKUP(Y23,squad!$B$18:$B$59,squad!$G$18:$G$59)</f>
        <v> </v>
      </c>
    </row>
    <row r="239" spans="1:30" ht="13.5" hidden="1" thickBot="1">
      <c r="A239" s="243" t="s">
        <v>272</v>
      </c>
      <c r="B239" s="1">
        <f t="shared" si="71"/>
        <v>0</v>
      </c>
      <c r="C239" s="1"/>
      <c r="D239" s="1"/>
      <c r="E239" s="1"/>
      <c r="F239" s="230" t="str">
        <f>LOOKUP(A24,squad!$B$18:$B$59,squad!$G$18:$G$59)</f>
        <v> </v>
      </c>
      <c r="G239" s="221" t="s">
        <v>311</v>
      </c>
      <c r="H239" s="26">
        <f t="shared" si="72"/>
        <v>0</v>
      </c>
      <c r="I239" s="26"/>
      <c r="J239" s="26"/>
      <c r="K239" s="26"/>
      <c r="L239" s="44" t="str">
        <f>LOOKUP(G24,squad!$B$18:$B$59,squad!$G$18:$G$59)</f>
        <v> </v>
      </c>
      <c r="M239" s="25" t="s">
        <v>331</v>
      </c>
      <c r="N239" s="1">
        <f t="shared" si="73"/>
        <v>0</v>
      </c>
      <c r="O239" s="1"/>
      <c r="P239" s="1"/>
      <c r="Q239" s="1"/>
      <c r="R239" s="230" t="str">
        <f>LOOKUP(M24,squad!$B$18:$B$59,squad!$G$18:$G$59)</f>
        <v> </v>
      </c>
      <c r="S239" s="1" t="s">
        <v>351</v>
      </c>
      <c r="T239" s="1">
        <f t="shared" si="74"/>
        <v>0</v>
      </c>
      <c r="U239" s="1"/>
      <c r="V239" s="1"/>
      <c r="W239" s="1"/>
      <c r="X239" s="230" t="str">
        <f>LOOKUP(S24,squad!$B$18:$B$59,squad!$G$18:$G$59)</f>
        <v> </v>
      </c>
      <c r="Y239" s="1" t="s">
        <v>371</v>
      </c>
      <c r="Z239" s="1">
        <f t="shared" si="75"/>
        <v>0</v>
      </c>
      <c r="AA239" s="1"/>
      <c r="AB239" s="1"/>
      <c r="AC239" s="1"/>
      <c r="AD239" s="230" t="str">
        <f>LOOKUP(Y24,squad!$B$18:$B$59,squad!$G$18:$G$59)</f>
        <v> </v>
      </c>
    </row>
    <row r="240" spans="1:30" ht="12.75" hidden="1">
      <c r="A240" s="246" t="s">
        <v>273</v>
      </c>
      <c r="B240" s="218">
        <f aca="true" t="shared" si="76" ref="B240:B245">IF(AND(AG25&lt;&gt;"GK",AG25&lt;&gt;"GS",AG25&lt;&gt;"SW",AG25&lt;&gt;"GK/SW",AG25&lt;&gt;"FB",AG25&lt;&gt;"DF",AG25&lt;&gt;"DF/FW",AG25&lt;&gt;"DLM",AG25&lt;&gt;"FW",AG25&lt;&gt;"LS",AG25&lt;&gt;"WG",AG25&lt;&gt;"WB"),0,-1)</f>
        <v>0</v>
      </c>
      <c r="C240" s="218">
        <f aca="true" t="shared" si="77" ref="C240:C251">IF(AG25="SW",-1,0)</f>
        <v>0</v>
      </c>
      <c r="D240" s="218"/>
      <c r="E240" s="218"/>
      <c r="F240" s="232" t="str">
        <f>LOOKUP(A25,squad!$B$18:$B$59,squad!$G$18:$G$59)</f>
        <v> </v>
      </c>
      <c r="G240" s="226" t="s">
        <v>312</v>
      </c>
      <c r="H240" s="218">
        <f aca="true" t="shared" si="78" ref="H240:H245">IF(AND(AH25&lt;&gt;"GK",AH25&lt;&gt;"GS",AH25&lt;&gt;"SW",AH25&lt;&gt;"GK/SW",AH25&lt;&gt;"FB",AH25&lt;&gt;"DF",AH25&lt;&gt;"DF/FW",AH25&lt;&gt;"DLM",AH25&lt;&gt;"FW",AH25&lt;&gt;"LS",AH25&lt;&gt;"WG",AH25&lt;&gt;"WB"),0,-1)</f>
        <v>0</v>
      </c>
      <c r="I240" s="218">
        <f aca="true" t="shared" si="79" ref="I240:I251">IF(AM25="SW",-1,0)</f>
        <v>0</v>
      </c>
      <c r="J240" s="218"/>
      <c r="K240" s="218"/>
      <c r="L240" s="247" t="str">
        <f>LOOKUP(G25,squad!$B$18:$B$59,squad!$G$18:$G$59)</f>
        <v> </v>
      </c>
      <c r="M240" s="226" t="s">
        <v>332</v>
      </c>
      <c r="N240" s="218">
        <f aca="true" t="shared" si="80" ref="N240:N245">IF(AND(AI25&lt;&gt;"GK",AI25&lt;&gt;"GS",AI25&lt;&gt;"SW",AI25&lt;&gt;"GK/SW",AI25&lt;&gt;"FB",AI25&lt;&gt;"DF",AI25&lt;&gt;"DF/FW",AI25&lt;&gt;"DLM",AI25&lt;&gt;"FW",AI25&lt;&gt;"LS",AI25&lt;&gt;"WG",AI25&lt;&gt;"WB"),0,-1)</f>
        <v>0</v>
      </c>
      <c r="O240" s="218">
        <f aca="true" t="shared" si="81" ref="O240:O251">IF(AS25="SW",-1,0)</f>
        <v>0</v>
      </c>
      <c r="P240" s="218"/>
      <c r="Q240" s="218"/>
      <c r="R240" s="232" t="str">
        <f>LOOKUP(M25,squad!$B$18:$B$59,squad!$G$18:$G$59)</f>
        <v> </v>
      </c>
      <c r="S240" s="218" t="s">
        <v>352</v>
      </c>
      <c r="T240" s="218">
        <f aca="true" t="shared" si="82" ref="T240:T245">IF(AND(AJ25&lt;&gt;"GK",AJ25&lt;&gt;"GS",AJ25&lt;&gt;"SW",AJ25&lt;&gt;"GK/SW",AJ25&lt;&gt;"FB",AJ25&lt;&gt;"DF",AJ25&lt;&gt;"DF/FW",AJ25&lt;&gt;"DLM",AJ25&lt;&gt;"FW",AJ25&lt;&gt;"LS",AJ25&lt;&gt;"WG",AJ25&lt;&gt;"WB"),0,-1)</f>
        <v>0</v>
      </c>
      <c r="U240" s="218">
        <f aca="true" t="shared" si="83" ref="U240:U251">IF(AY25="SW",-1,0)</f>
        <v>0</v>
      </c>
      <c r="V240" s="218"/>
      <c r="W240" s="218"/>
      <c r="X240" s="232" t="str">
        <f>LOOKUP(S25,squad!$B$18:$B$59,squad!$G$18:$G$59)</f>
        <v> </v>
      </c>
      <c r="Y240" s="218" t="s">
        <v>372</v>
      </c>
      <c r="Z240" s="218">
        <f aca="true" t="shared" si="84" ref="Z240:Z245">IF(AND(AK25&lt;&gt;"GK",AK25&lt;&gt;"GS",AK25&lt;&gt;"SW",AK25&lt;&gt;"GK/SW",AK25&lt;&gt;"FB",AK25&lt;&gt;"DF",AK25&lt;&gt;"DF/FW",AK25&lt;&gt;"DLM",AK25&lt;&gt;"FW",AK25&lt;&gt;"LS",AK25&lt;&gt;"WG",AK25&lt;&gt;"WB"),0,-1)</f>
        <v>0</v>
      </c>
      <c r="AA240" s="218">
        <f aca="true" t="shared" si="85" ref="AA240:AA251">IF(BE25="SW",-1,0)</f>
        <v>0</v>
      </c>
      <c r="AB240" s="218"/>
      <c r="AC240" s="218"/>
      <c r="AD240" s="232" t="str">
        <f>LOOKUP(Y25,squad!$B$18:$B$59,squad!$G$18:$G$59)</f>
        <v> </v>
      </c>
    </row>
    <row r="241" spans="1:30" ht="12.75" hidden="1">
      <c r="A241" s="243" t="s">
        <v>274</v>
      </c>
      <c r="B241" s="1">
        <f t="shared" si="76"/>
        <v>0</v>
      </c>
      <c r="C241" s="1">
        <f t="shared" si="77"/>
        <v>0</v>
      </c>
      <c r="D241" s="1"/>
      <c r="E241" s="1"/>
      <c r="F241" s="230" t="str">
        <f>LOOKUP(A26,squad!$B$18:$B$59,squad!$G$18:$G$59)</f>
        <v> </v>
      </c>
      <c r="G241" s="25" t="s">
        <v>313</v>
      </c>
      <c r="H241" s="1">
        <f t="shared" si="78"/>
        <v>0</v>
      </c>
      <c r="I241" s="1">
        <f t="shared" si="79"/>
        <v>0</v>
      </c>
      <c r="J241" s="1"/>
      <c r="K241" s="1"/>
      <c r="L241" s="41" t="str">
        <f>LOOKUP(G26,squad!$B$18:$B$59,squad!$G$18:$G$59)</f>
        <v> </v>
      </c>
      <c r="M241" s="25" t="s">
        <v>333</v>
      </c>
      <c r="N241" s="1">
        <f t="shared" si="80"/>
        <v>0</v>
      </c>
      <c r="O241" s="1">
        <f t="shared" si="81"/>
        <v>0</v>
      </c>
      <c r="P241" s="1"/>
      <c r="Q241" s="1"/>
      <c r="R241" s="230" t="str">
        <f>LOOKUP(M26,squad!$B$18:$B$59,squad!$G$18:$G$59)</f>
        <v> </v>
      </c>
      <c r="S241" s="1" t="s">
        <v>353</v>
      </c>
      <c r="T241" s="1">
        <f t="shared" si="82"/>
        <v>0</v>
      </c>
      <c r="U241" s="1">
        <f t="shared" si="83"/>
        <v>0</v>
      </c>
      <c r="V241" s="1"/>
      <c r="W241" s="1"/>
      <c r="X241" s="230" t="str">
        <f>LOOKUP(S26,squad!$B$18:$B$59,squad!$G$18:$G$59)</f>
        <v> </v>
      </c>
      <c r="Y241" s="1" t="s">
        <v>373</v>
      </c>
      <c r="Z241" s="1">
        <f t="shared" si="84"/>
        <v>0</v>
      </c>
      <c r="AA241" s="1">
        <f t="shared" si="85"/>
        <v>0</v>
      </c>
      <c r="AB241" s="1"/>
      <c r="AC241" s="1"/>
      <c r="AD241" s="230" t="str">
        <f>LOOKUP(Y26,squad!$B$18:$B$59,squad!$G$18:$G$59)</f>
        <v> </v>
      </c>
    </row>
    <row r="242" spans="1:30" ht="12.75" hidden="1">
      <c r="A242" s="243" t="s">
        <v>275</v>
      </c>
      <c r="B242" s="1">
        <f t="shared" si="76"/>
        <v>0</v>
      </c>
      <c r="C242" s="1">
        <f t="shared" si="77"/>
        <v>0</v>
      </c>
      <c r="D242" s="1"/>
      <c r="E242" s="1"/>
      <c r="F242" s="230" t="str">
        <f>LOOKUP(A27,squad!$B$18:$B$59,squad!$G$18:$G$59)</f>
        <v> </v>
      </c>
      <c r="G242" s="25" t="s">
        <v>314</v>
      </c>
      <c r="H242" s="1">
        <f t="shared" si="78"/>
        <v>0</v>
      </c>
      <c r="I242" s="1">
        <f t="shared" si="79"/>
        <v>0</v>
      </c>
      <c r="J242" s="1"/>
      <c r="K242" s="1"/>
      <c r="L242" s="41" t="str">
        <f>LOOKUP(G27,squad!$B$18:$B$59,squad!$G$18:$G$59)</f>
        <v> </v>
      </c>
      <c r="M242" s="25" t="s">
        <v>334</v>
      </c>
      <c r="N242" s="1">
        <f t="shared" si="80"/>
        <v>0</v>
      </c>
      <c r="O242" s="1">
        <f t="shared" si="81"/>
        <v>0</v>
      </c>
      <c r="P242" s="1"/>
      <c r="Q242" s="1"/>
      <c r="R242" s="230" t="str">
        <f>LOOKUP(M27,squad!$B$18:$B$59,squad!$G$18:$G$59)</f>
        <v> </v>
      </c>
      <c r="S242" s="1" t="s">
        <v>354</v>
      </c>
      <c r="T242" s="1">
        <f t="shared" si="82"/>
        <v>0</v>
      </c>
      <c r="U242" s="1">
        <f t="shared" si="83"/>
        <v>0</v>
      </c>
      <c r="V242" s="1"/>
      <c r="W242" s="1"/>
      <c r="X242" s="230" t="str">
        <f>LOOKUP(S27,squad!$B$18:$B$59,squad!$G$18:$G$59)</f>
        <v> </v>
      </c>
      <c r="Y242" s="1" t="s">
        <v>374</v>
      </c>
      <c r="Z242" s="1">
        <f t="shared" si="84"/>
        <v>0</v>
      </c>
      <c r="AA242" s="1">
        <f t="shared" si="85"/>
        <v>0</v>
      </c>
      <c r="AB242" s="1"/>
      <c r="AC242" s="1"/>
      <c r="AD242" s="230" t="str">
        <f>LOOKUP(Y27,squad!$B$18:$B$59,squad!$G$18:$G$59)</f>
        <v> </v>
      </c>
    </row>
    <row r="243" spans="1:30" ht="12.75" hidden="1">
      <c r="A243" s="243" t="s">
        <v>276</v>
      </c>
      <c r="B243" s="1">
        <f t="shared" si="76"/>
        <v>0</v>
      </c>
      <c r="C243" s="1">
        <f t="shared" si="77"/>
        <v>0</v>
      </c>
      <c r="D243" s="1"/>
      <c r="E243" s="1"/>
      <c r="F243" s="230" t="str">
        <f>LOOKUP(A28,squad!$B$18:$B$59,squad!$G$18:$G$59)</f>
        <v> </v>
      </c>
      <c r="G243" s="25" t="s">
        <v>315</v>
      </c>
      <c r="H243" s="1">
        <f t="shared" si="78"/>
        <v>0</v>
      </c>
      <c r="I243" s="1">
        <f t="shared" si="79"/>
        <v>0</v>
      </c>
      <c r="J243" s="1"/>
      <c r="K243" s="1"/>
      <c r="L243" s="41" t="str">
        <f>LOOKUP(G28,squad!$B$18:$B$59,squad!$G$18:$G$59)</f>
        <v> </v>
      </c>
      <c r="M243" s="25" t="s">
        <v>335</v>
      </c>
      <c r="N243" s="1">
        <f t="shared" si="80"/>
        <v>0</v>
      </c>
      <c r="O243" s="1">
        <f t="shared" si="81"/>
        <v>0</v>
      </c>
      <c r="P243" s="1"/>
      <c r="Q243" s="1"/>
      <c r="R243" s="230" t="str">
        <f>LOOKUP(M28,squad!$B$18:$B$59,squad!$G$18:$G$59)</f>
        <v> </v>
      </c>
      <c r="S243" s="1" t="s">
        <v>355</v>
      </c>
      <c r="T243" s="1">
        <f t="shared" si="82"/>
        <v>0</v>
      </c>
      <c r="U243" s="1">
        <f t="shared" si="83"/>
        <v>0</v>
      </c>
      <c r="V243" s="1"/>
      <c r="W243" s="1"/>
      <c r="X243" s="230" t="str">
        <f>LOOKUP(S28,squad!$B$18:$B$59,squad!$G$18:$G$59)</f>
        <v> </v>
      </c>
      <c r="Y243" s="1" t="s">
        <v>375</v>
      </c>
      <c r="Z243" s="1">
        <f t="shared" si="84"/>
        <v>0</v>
      </c>
      <c r="AA243" s="1">
        <f t="shared" si="85"/>
        <v>0</v>
      </c>
      <c r="AB243" s="1"/>
      <c r="AC243" s="1"/>
      <c r="AD243" s="230" t="str">
        <f>LOOKUP(Y28,squad!$B$18:$B$59,squad!$G$18:$G$59)</f>
        <v> </v>
      </c>
    </row>
    <row r="244" spans="1:30" ht="12.75" hidden="1">
      <c r="A244" s="243" t="s">
        <v>277</v>
      </c>
      <c r="B244" s="1">
        <f t="shared" si="76"/>
        <v>0</v>
      </c>
      <c r="C244" s="1">
        <f t="shared" si="77"/>
        <v>0</v>
      </c>
      <c r="D244" s="1"/>
      <c r="E244" s="1"/>
      <c r="F244" s="230" t="str">
        <f>LOOKUP(A29,squad!$B$18:$B$59,squad!$G$18:$G$59)</f>
        <v> </v>
      </c>
      <c r="G244" s="25" t="s">
        <v>316</v>
      </c>
      <c r="H244" s="1">
        <f t="shared" si="78"/>
        <v>0</v>
      </c>
      <c r="I244" s="1">
        <f t="shared" si="79"/>
        <v>0</v>
      </c>
      <c r="J244" s="1"/>
      <c r="K244" s="1"/>
      <c r="L244" s="41" t="str">
        <f>LOOKUP(G29,squad!$B$18:$B$59,squad!$G$18:$G$59)</f>
        <v> </v>
      </c>
      <c r="M244" s="25" t="s">
        <v>336</v>
      </c>
      <c r="N244" s="1">
        <f t="shared" si="80"/>
        <v>0</v>
      </c>
      <c r="O244" s="1">
        <f t="shared" si="81"/>
        <v>0</v>
      </c>
      <c r="P244" s="1"/>
      <c r="Q244" s="1"/>
      <c r="R244" s="230" t="str">
        <f>LOOKUP(M29,squad!$B$18:$B$59,squad!$G$18:$G$59)</f>
        <v> </v>
      </c>
      <c r="S244" s="1" t="s">
        <v>356</v>
      </c>
      <c r="T244" s="1">
        <f t="shared" si="82"/>
        <v>0</v>
      </c>
      <c r="U244" s="1">
        <f t="shared" si="83"/>
        <v>0</v>
      </c>
      <c r="V244" s="1"/>
      <c r="W244" s="1"/>
      <c r="X244" s="230" t="str">
        <f>LOOKUP(S29,squad!$B$18:$B$59,squad!$G$18:$G$59)</f>
        <v> </v>
      </c>
      <c r="Y244" s="1" t="s">
        <v>376</v>
      </c>
      <c r="Z244" s="1">
        <f t="shared" si="84"/>
        <v>0</v>
      </c>
      <c r="AA244" s="1">
        <f t="shared" si="85"/>
        <v>0</v>
      </c>
      <c r="AB244" s="1"/>
      <c r="AC244" s="1"/>
      <c r="AD244" s="230" t="str">
        <f>LOOKUP(Y29,squad!$B$18:$B$59,squad!$G$18:$G$59)</f>
        <v> </v>
      </c>
    </row>
    <row r="245" spans="1:30" ht="13.5" hidden="1" thickBot="1">
      <c r="A245" s="244" t="s">
        <v>278</v>
      </c>
      <c r="B245" s="26">
        <f t="shared" si="76"/>
        <v>0</v>
      </c>
      <c r="C245" s="26">
        <f t="shared" si="77"/>
        <v>0</v>
      </c>
      <c r="D245" s="26"/>
      <c r="E245" s="26"/>
      <c r="F245" s="231" t="str">
        <f>LOOKUP(A30,squad!$B$18:$B$59,squad!$G$18:$G$59)</f>
        <v> </v>
      </c>
      <c r="G245" s="221" t="s">
        <v>317</v>
      </c>
      <c r="H245" s="26">
        <f t="shared" si="78"/>
        <v>0</v>
      </c>
      <c r="I245" s="26">
        <f t="shared" si="79"/>
        <v>0</v>
      </c>
      <c r="J245" s="26"/>
      <c r="K245" s="26"/>
      <c r="L245" s="44" t="str">
        <f>LOOKUP(G30,squad!$B$18:$B$59,squad!$G$18:$G$59)</f>
        <v> </v>
      </c>
      <c r="M245" s="221" t="s">
        <v>337</v>
      </c>
      <c r="N245" s="26">
        <f t="shared" si="80"/>
        <v>0</v>
      </c>
      <c r="O245" s="26">
        <f t="shared" si="81"/>
        <v>0</v>
      </c>
      <c r="P245" s="26"/>
      <c r="Q245" s="26"/>
      <c r="R245" s="231" t="str">
        <f>LOOKUP(M30,squad!$B$18:$B$59,squad!$G$18:$G$59)</f>
        <v> </v>
      </c>
      <c r="S245" s="26" t="s">
        <v>357</v>
      </c>
      <c r="T245" s="26">
        <f t="shared" si="82"/>
        <v>0</v>
      </c>
      <c r="U245" s="26">
        <f t="shared" si="83"/>
        <v>0</v>
      </c>
      <c r="V245" s="26"/>
      <c r="W245" s="26"/>
      <c r="X245" s="231" t="str">
        <f>LOOKUP(S30,squad!$B$18:$B$59,squad!$G$18:$G$59)</f>
        <v> </v>
      </c>
      <c r="Y245" s="26" t="s">
        <v>377</v>
      </c>
      <c r="Z245" s="26">
        <f t="shared" si="84"/>
        <v>0</v>
      </c>
      <c r="AA245" s="26">
        <f t="shared" si="85"/>
        <v>0</v>
      </c>
      <c r="AB245" s="26"/>
      <c r="AC245" s="26"/>
      <c r="AD245" s="231" t="str">
        <f>LOOKUP(Y30,squad!$B$18:$B$59,squad!$G$18:$G$59)</f>
        <v> </v>
      </c>
    </row>
    <row r="246" spans="1:30" ht="12.75" hidden="1">
      <c r="A246" s="246" t="s">
        <v>279</v>
      </c>
      <c r="B246" s="185">
        <f aca="true" t="shared" si="86" ref="B246:B251">IF(AND(AG31&lt;&gt;"GK",AG31&lt;&gt;"GS",AG31&lt;&gt;"SW",AG31&lt;&gt;"GK/SW",AG31&lt;&gt;"FB",AG31&lt;&gt;"DF",AG31&lt;&gt;"DF/MF",AG31&lt;&gt;"DM",AG31&lt;&gt;"AM",AG31&lt;&gt;"DLM",AG31&lt;&gt;"MF",AG31&lt;&gt;"MLM",AG31&lt;&gt;"LK"),0,-1)</f>
        <v>0</v>
      </c>
      <c r="C246" s="185">
        <f t="shared" si="77"/>
        <v>0</v>
      </c>
      <c r="D246" s="218"/>
      <c r="E246" s="218"/>
      <c r="F246" s="232" t="str">
        <f>LOOKUP(A31,squad!$B$18:$B$59,squad!$G$18:$G$59)</f>
        <v> </v>
      </c>
      <c r="G246" s="226" t="s">
        <v>318</v>
      </c>
      <c r="H246" s="185">
        <f aca="true" t="shared" si="87" ref="H246:H251">IF(AND(AH31&lt;&gt;"GK",AH31&lt;&gt;"GS",AH31&lt;&gt;"SW",AH31&lt;&gt;"GK/SW",AH31&lt;&gt;"FB",AH31&lt;&gt;"DF",AH31&lt;&gt;"DF/MF",AH31&lt;&gt;"DM",AH31&lt;&gt;"AM",AH31&lt;&gt;"DLM",AH31&lt;&gt;"MF",AH31&lt;&gt;"MLM",AH31&lt;&gt;"LK"),0,-1)</f>
        <v>0</v>
      </c>
      <c r="I246" s="185">
        <f t="shared" si="79"/>
        <v>0</v>
      </c>
      <c r="J246" s="218"/>
      <c r="K246" s="242"/>
      <c r="L246" s="247" t="str">
        <f>LOOKUP(G31,squad!$B$18:$B$59,squad!$G$18:$G$59)</f>
        <v> </v>
      </c>
      <c r="M246" s="25" t="s">
        <v>338</v>
      </c>
      <c r="N246" s="2">
        <f aca="true" t="shared" si="88" ref="N246:N251">IF(AND(AI31&lt;&gt;"GK",AI31&lt;&gt;"GS",AI31&lt;&gt;"SW",AI31&lt;&gt;"GK/SW",AI31&lt;&gt;"FB",AI31&lt;&gt;"DF",AI31&lt;&gt;"DF/MF",AI31&lt;&gt;"DM",AI31&lt;&gt;"AM",AI31&lt;&gt;"DLM",AI31&lt;&gt;"MF",AI31&lt;&gt;"MLM",AI31&lt;&gt;"LK"),0,-1)</f>
        <v>0</v>
      </c>
      <c r="O246" s="2">
        <f t="shared" si="81"/>
        <v>0</v>
      </c>
      <c r="P246" s="1"/>
      <c r="Q246" s="1"/>
      <c r="R246" s="230" t="str">
        <f>LOOKUP(M31,squad!$B$18:$B$59,squad!$G$18:$G$59)</f>
        <v> </v>
      </c>
      <c r="S246" s="1" t="s">
        <v>358</v>
      </c>
      <c r="T246" s="2">
        <f aca="true" t="shared" si="89" ref="T246:T251">IF(AND(AJ31&lt;&gt;"GK",AJ31&lt;&gt;"GS",AJ31&lt;&gt;"SW",AJ31&lt;&gt;"GK/SW",AJ31&lt;&gt;"FB",AJ31&lt;&gt;"DF",AJ31&lt;&gt;"DF/MF",AJ31&lt;&gt;"DM",AJ31&lt;&gt;"AM",AJ31&lt;&gt;"DLM",AJ31&lt;&gt;"MF",AJ31&lt;&gt;"MLM",AJ31&lt;&gt;"LK"),0,-1)</f>
        <v>0</v>
      </c>
      <c r="U246" s="2">
        <f t="shared" si="83"/>
        <v>0</v>
      </c>
      <c r="V246" s="1"/>
      <c r="W246" s="1"/>
      <c r="X246" s="230" t="str">
        <f>LOOKUP(S31,squad!$B$18:$B$59,squad!$G$18:$G$59)</f>
        <v> </v>
      </c>
      <c r="Y246" s="1" t="s">
        <v>378</v>
      </c>
      <c r="Z246" s="2">
        <f aca="true" t="shared" si="90" ref="Z246:Z251">IF(AND(AK31&lt;&gt;"GK",AK31&lt;&gt;"GS",AK31&lt;&gt;"SW",AK31&lt;&gt;"GK/SW",AK31&lt;&gt;"FB",AK31&lt;&gt;"DF",AK31&lt;&gt;"DF/MF",AK31&lt;&gt;"DM",AK31&lt;&gt;"AM",AK31&lt;&gt;"DLM",AK31&lt;&gt;"MF",AK31&lt;&gt;"MLM",AK31&lt;&gt;"LK"),0,-1)</f>
        <v>0</v>
      </c>
      <c r="AA246" s="2">
        <f t="shared" si="85"/>
        <v>0</v>
      </c>
      <c r="AB246" s="1"/>
      <c r="AC246" s="1"/>
      <c r="AD246" s="230" t="str">
        <f>LOOKUP(Y31,squad!$B$18:$B$59,squad!$G$18:$G$59)</f>
        <v> </v>
      </c>
    </row>
    <row r="247" spans="1:30" ht="12.75" hidden="1">
      <c r="A247" s="243" t="s">
        <v>280</v>
      </c>
      <c r="B247" s="2">
        <f t="shared" si="86"/>
        <v>0</v>
      </c>
      <c r="C247" s="2">
        <f t="shared" si="77"/>
        <v>0</v>
      </c>
      <c r="D247" s="1"/>
      <c r="E247" s="1"/>
      <c r="F247" s="230" t="str">
        <f>LOOKUP(A32,squad!$B$18:$B$59,squad!$G$18:$G$59)</f>
        <v> </v>
      </c>
      <c r="G247" s="25" t="s">
        <v>319</v>
      </c>
      <c r="H247" s="2">
        <f t="shared" si="87"/>
        <v>0</v>
      </c>
      <c r="I247" s="2">
        <f t="shared" si="79"/>
        <v>0</v>
      </c>
      <c r="J247" s="1"/>
      <c r="K247" s="24"/>
      <c r="L247" s="41" t="str">
        <f>LOOKUP(G32,squad!$B$18:$B$59,squad!$G$18:$G$59)</f>
        <v> </v>
      </c>
      <c r="M247" s="25" t="s">
        <v>339</v>
      </c>
      <c r="N247" s="2">
        <f t="shared" si="88"/>
        <v>0</v>
      </c>
      <c r="O247" s="2">
        <f t="shared" si="81"/>
        <v>0</v>
      </c>
      <c r="P247" s="1"/>
      <c r="Q247" s="1"/>
      <c r="R247" s="230" t="str">
        <f>LOOKUP(M32,squad!$B$18:$B$59,squad!$G$18:$G$59)</f>
        <v> </v>
      </c>
      <c r="S247" s="1" t="s">
        <v>359</v>
      </c>
      <c r="T247" s="2">
        <f t="shared" si="89"/>
        <v>0</v>
      </c>
      <c r="U247" s="2">
        <f t="shared" si="83"/>
        <v>0</v>
      </c>
      <c r="V247" s="1"/>
      <c r="W247" s="1"/>
      <c r="X247" s="230" t="str">
        <f>LOOKUP(S32,squad!$B$18:$B$59,squad!$G$18:$G$59)</f>
        <v> </v>
      </c>
      <c r="Y247" s="1" t="s">
        <v>379</v>
      </c>
      <c r="Z247" s="2">
        <f t="shared" si="90"/>
        <v>0</v>
      </c>
      <c r="AA247" s="2">
        <f t="shared" si="85"/>
        <v>0</v>
      </c>
      <c r="AB247" s="1"/>
      <c r="AC247" s="1"/>
      <c r="AD247" s="230" t="str">
        <f>LOOKUP(Y32,squad!$B$18:$B$59,squad!$G$18:$G$59)</f>
        <v> </v>
      </c>
    </row>
    <row r="248" spans="1:30" ht="12.75" hidden="1">
      <c r="A248" s="243" t="s">
        <v>281</v>
      </c>
      <c r="B248" s="2">
        <f t="shared" si="86"/>
        <v>0</v>
      </c>
      <c r="C248" s="2">
        <f t="shared" si="77"/>
        <v>0</v>
      </c>
      <c r="D248" s="1"/>
      <c r="E248" s="1"/>
      <c r="F248" s="230" t="str">
        <f>LOOKUP(A33,squad!$B$18:$B$59,squad!$G$18:$G$59)</f>
        <v> </v>
      </c>
      <c r="G248" s="25" t="s">
        <v>320</v>
      </c>
      <c r="H248" s="2">
        <f t="shared" si="87"/>
        <v>0</v>
      </c>
      <c r="I248" s="2">
        <f t="shared" si="79"/>
        <v>0</v>
      </c>
      <c r="J248" s="1"/>
      <c r="K248" s="24"/>
      <c r="L248" s="41" t="str">
        <f>LOOKUP(G33,squad!$B$18:$B$59,squad!$G$18:$G$59)</f>
        <v> </v>
      </c>
      <c r="M248" s="25" t="s">
        <v>340</v>
      </c>
      <c r="N248" s="2">
        <f t="shared" si="88"/>
        <v>0</v>
      </c>
      <c r="O248" s="2">
        <f t="shared" si="81"/>
        <v>0</v>
      </c>
      <c r="P248" s="1"/>
      <c r="Q248" s="1"/>
      <c r="R248" s="230" t="str">
        <f>LOOKUP(M33,squad!$B$18:$B$59,squad!$G$18:$G$59)</f>
        <v> </v>
      </c>
      <c r="S248" s="1" t="s">
        <v>360</v>
      </c>
      <c r="T248" s="2">
        <f t="shared" si="89"/>
        <v>0</v>
      </c>
      <c r="U248" s="2">
        <f t="shared" si="83"/>
        <v>0</v>
      </c>
      <c r="V248" s="1"/>
      <c r="W248" s="1"/>
      <c r="X248" s="230" t="str">
        <f>LOOKUP(S33,squad!$B$18:$B$59,squad!$G$18:$G$59)</f>
        <v> </v>
      </c>
      <c r="Y248" s="1" t="s">
        <v>380</v>
      </c>
      <c r="Z248" s="2">
        <f t="shared" si="90"/>
        <v>0</v>
      </c>
      <c r="AA248" s="2">
        <f t="shared" si="85"/>
        <v>0</v>
      </c>
      <c r="AB248" s="1"/>
      <c r="AC248" s="1"/>
      <c r="AD248" s="230" t="str">
        <f>LOOKUP(Y33,squad!$B$18:$B$59,squad!$G$18:$G$59)</f>
        <v> </v>
      </c>
    </row>
    <row r="249" spans="1:30" ht="12.75" hidden="1">
      <c r="A249" s="243" t="s">
        <v>282</v>
      </c>
      <c r="B249" s="2">
        <f t="shared" si="86"/>
        <v>0</v>
      </c>
      <c r="C249" s="2">
        <f t="shared" si="77"/>
        <v>0</v>
      </c>
      <c r="D249" s="1"/>
      <c r="E249" s="1"/>
      <c r="F249" s="230" t="str">
        <f>LOOKUP(A34,squad!$B$18:$B$59,squad!$G$18:$G$59)</f>
        <v> </v>
      </c>
      <c r="G249" s="25" t="s">
        <v>321</v>
      </c>
      <c r="H249" s="2">
        <f t="shared" si="87"/>
        <v>0</v>
      </c>
      <c r="I249" s="2">
        <f t="shared" si="79"/>
        <v>0</v>
      </c>
      <c r="J249" s="1"/>
      <c r="K249" s="24"/>
      <c r="L249" s="41" t="str">
        <f>LOOKUP(G34,squad!$B$18:$B$59,squad!$G$18:$G$59)</f>
        <v> </v>
      </c>
      <c r="M249" s="25" t="s">
        <v>341</v>
      </c>
      <c r="N249" s="2">
        <f t="shared" si="88"/>
        <v>0</v>
      </c>
      <c r="O249" s="2">
        <f t="shared" si="81"/>
        <v>0</v>
      </c>
      <c r="P249" s="1"/>
      <c r="Q249" s="1"/>
      <c r="R249" s="230" t="str">
        <f>LOOKUP(M34,squad!$B$18:$B$59,squad!$G$18:$G$59)</f>
        <v> </v>
      </c>
      <c r="S249" s="1" t="s">
        <v>361</v>
      </c>
      <c r="T249" s="2">
        <f t="shared" si="89"/>
        <v>0</v>
      </c>
      <c r="U249" s="2">
        <f t="shared" si="83"/>
        <v>0</v>
      </c>
      <c r="V249" s="1"/>
      <c r="W249" s="1"/>
      <c r="X249" s="230" t="str">
        <f>LOOKUP(S34,squad!$B$18:$B$59,squad!$G$18:$G$59)</f>
        <v> </v>
      </c>
      <c r="Y249" s="1" t="s">
        <v>381</v>
      </c>
      <c r="Z249" s="2">
        <f t="shared" si="90"/>
        <v>0</v>
      </c>
      <c r="AA249" s="2">
        <f t="shared" si="85"/>
        <v>0</v>
      </c>
      <c r="AB249" s="1"/>
      <c r="AC249" s="1"/>
      <c r="AD249" s="230" t="str">
        <f>LOOKUP(Y34,squad!$B$18:$B$59,squad!$G$18:$G$59)</f>
        <v> </v>
      </c>
    </row>
    <row r="250" spans="1:30" ht="12.75" hidden="1">
      <c r="A250" s="243" t="s">
        <v>283</v>
      </c>
      <c r="B250" s="2">
        <f t="shared" si="86"/>
        <v>0</v>
      </c>
      <c r="C250" s="2">
        <f t="shared" si="77"/>
        <v>0</v>
      </c>
      <c r="D250" s="1"/>
      <c r="E250" s="1"/>
      <c r="F250" s="230" t="str">
        <f>LOOKUP(A35,squad!$B$18:$B$59,squad!$G$18:$G$59)</f>
        <v> </v>
      </c>
      <c r="G250" s="25" t="s">
        <v>322</v>
      </c>
      <c r="H250" s="2">
        <f t="shared" si="87"/>
        <v>0</v>
      </c>
      <c r="I250" s="2">
        <f t="shared" si="79"/>
        <v>0</v>
      </c>
      <c r="J250" s="1"/>
      <c r="K250" s="24"/>
      <c r="L250" s="41" t="str">
        <f>LOOKUP(G35,squad!$B$18:$B$59,squad!$G$18:$G$59)</f>
        <v> </v>
      </c>
      <c r="M250" s="25" t="s">
        <v>342</v>
      </c>
      <c r="N250" s="2">
        <f t="shared" si="88"/>
        <v>0</v>
      </c>
      <c r="O250" s="2">
        <f t="shared" si="81"/>
        <v>0</v>
      </c>
      <c r="P250" s="1"/>
      <c r="Q250" s="1"/>
      <c r="R250" s="230" t="str">
        <f>LOOKUP(M35,squad!$B$18:$B$59,squad!$G$18:$G$59)</f>
        <v> </v>
      </c>
      <c r="S250" s="1" t="s">
        <v>362</v>
      </c>
      <c r="T250" s="2">
        <f t="shared" si="89"/>
        <v>0</v>
      </c>
      <c r="U250" s="2">
        <f t="shared" si="83"/>
        <v>0</v>
      </c>
      <c r="V250" s="1"/>
      <c r="W250" s="1"/>
      <c r="X250" s="230" t="str">
        <f>LOOKUP(S35,squad!$B$18:$B$59,squad!$G$18:$G$59)</f>
        <v> </v>
      </c>
      <c r="Y250" s="1" t="s">
        <v>382</v>
      </c>
      <c r="Z250" s="2">
        <f t="shared" si="90"/>
        <v>0</v>
      </c>
      <c r="AA250" s="2">
        <f t="shared" si="85"/>
        <v>0</v>
      </c>
      <c r="AB250" s="1"/>
      <c r="AC250" s="1"/>
      <c r="AD250" s="230" t="str">
        <f>LOOKUP(Y35,squad!$B$18:$B$59,squad!$G$18:$G$59)</f>
        <v> </v>
      </c>
    </row>
    <row r="251" spans="1:30" ht="13.5" hidden="1" thickBot="1">
      <c r="A251" s="244" t="s">
        <v>284</v>
      </c>
      <c r="B251" s="190">
        <f t="shared" si="86"/>
        <v>0</v>
      </c>
      <c r="C251" s="190">
        <f t="shared" si="77"/>
        <v>0</v>
      </c>
      <c r="D251" s="26"/>
      <c r="E251" s="26"/>
      <c r="F251" s="231" t="str">
        <f>LOOKUP(A36,squad!$B$18:$B$59,squad!$G$18:$G$59)</f>
        <v> </v>
      </c>
      <c r="G251" s="221" t="s">
        <v>323</v>
      </c>
      <c r="H251" s="190">
        <f t="shared" si="87"/>
        <v>0</v>
      </c>
      <c r="I251" s="190">
        <f t="shared" si="79"/>
        <v>0</v>
      </c>
      <c r="J251" s="26"/>
      <c r="K251" s="29"/>
      <c r="L251" s="44" t="str">
        <f>LOOKUP(G36,squad!$B$18:$B$59,squad!$G$18:$G$59)</f>
        <v> </v>
      </c>
      <c r="M251" s="221" t="s">
        <v>343</v>
      </c>
      <c r="N251" s="190">
        <f t="shared" si="88"/>
        <v>0</v>
      </c>
      <c r="O251" s="190">
        <f t="shared" si="81"/>
        <v>0</v>
      </c>
      <c r="P251" s="26"/>
      <c r="Q251" s="26"/>
      <c r="R251" s="231" t="str">
        <f>LOOKUP(M36,squad!$B$18:$B$59,squad!$G$18:$G$59)</f>
        <v> </v>
      </c>
      <c r="S251" s="26" t="s">
        <v>363</v>
      </c>
      <c r="T251" s="190">
        <f t="shared" si="89"/>
        <v>0</v>
      </c>
      <c r="U251" s="190">
        <f t="shared" si="83"/>
        <v>0</v>
      </c>
      <c r="V251" s="26"/>
      <c r="W251" s="26"/>
      <c r="X251" s="231" t="str">
        <f>LOOKUP(S36,squad!$B$18:$B$59,squad!$G$18:$G$59)</f>
        <v> </v>
      </c>
      <c r="Y251" s="26" t="s">
        <v>383</v>
      </c>
      <c r="Z251" s="190">
        <f t="shared" si="90"/>
        <v>0</v>
      </c>
      <c r="AA251" s="190">
        <f t="shared" si="85"/>
        <v>0</v>
      </c>
      <c r="AB251" s="26"/>
      <c r="AC251" s="26"/>
      <c r="AD251" s="231" t="str">
        <f>LOOKUP(Y36,squad!$B$18:$B$59,squad!$G$18:$G$59)</f>
        <v> </v>
      </c>
    </row>
    <row r="252" spans="1:30" ht="12.75" hidden="1">
      <c r="A252" s="222" t="s">
        <v>288</v>
      </c>
      <c r="B252" s="223"/>
      <c r="C252" s="223"/>
      <c r="D252" s="223"/>
      <c r="E252" s="223"/>
      <c r="F252" s="224"/>
      <c r="G252" s="159" t="s">
        <v>288</v>
      </c>
      <c r="H252" s="7"/>
      <c r="I252" s="7"/>
      <c r="J252" s="7"/>
      <c r="K252" s="7"/>
      <c r="L252" s="227"/>
      <c r="M252" s="159" t="s">
        <v>288</v>
      </c>
      <c r="N252" s="7"/>
      <c r="O252" s="7"/>
      <c r="P252" s="7"/>
      <c r="Q252" s="7"/>
      <c r="R252" s="227"/>
      <c r="S252" s="159" t="s">
        <v>288</v>
      </c>
      <c r="T252" s="7"/>
      <c r="U252" s="7"/>
      <c r="V252" s="7"/>
      <c r="W252" s="7"/>
      <c r="X252" s="227"/>
      <c r="Y252" s="159" t="s">
        <v>288</v>
      </c>
      <c r="Z252" s="7"/>
      <c r="AA252" s="7"/>
      <c r="AB252" s="7"/>
      <c r="AC252" s="7"/>
      <c r="AD252" s="227"/>
    </row>
    <row r="253" spans="1:30" ht="13.5" hidden="1" thickBot="1">
      <c r="A253" s="159"/>
      <c r="B253" s="7" t="s">
        <v>287</v>
      </c>
      <c r="C253" s="7"/>
      <c r="D253" s="7"/>
      <c r="E253" s="7"/>
      <c r="F253" s="227"/>
      <c r="G253" s="159"/>
      <c r="H253" s="7" t="s">
        <v>287</v>
      </c>
      <c r="I253" s="7"/>
      <c r="J253" s="7"/>
      <c r="K253" s="7"/>
      <c r="L253" s="227"/>
      <c r="M253" s="159"/>
      <c r="N253" s="7" t="s">
        <v>287</v>
      </c>
      <c r="O253" s="7"/>
      <c r="P253" s="7"/>
      <c r="Q253" s="7"/>
      <c r="R253" s="227"/>
      <c r="S253" s="159"/>
      <c r="T253" s="7" t="s">
        <v>287</v>
      </c>
      <c r="U253" s="7"/>
      <c r="V253" s="7"/>
      <c r="W253" s="7"/>
      <c r="X253" s="227"/>
      <c r="Y253" s="159"/>
      <c r="Z253" s="7" t="s">
        <v>287</v>
      </c>
      <c r="AA253" s="7"/>
      <c r="AB253" s="7"/>
      <c r="AC253" s="7"/>
      <c r="AD253" s="227"/>
    </row>
    <row r="254" spans="1:30" ht="12.75" hidden="1">
      <c r="A254" s="226" t="s">
        <v>10</v>
      </c>
      <c r="B254" s="218">
        <f>AG17</f>
        <v>0</v>
      </c>
      <c r="C254" s="218"/>
      <c r="D254" s="218"/>
      <c r="E254" s="218"/>
      <c r="F254" s="232" t="str">
        <f>LOOKUP(A17,squad!$B$18:$B$59,squad!$G$18:$G$59)</f>
        <v> </v>
      </c>
      <c r="G254" s="226" t="s">
        <v>10</v>
      </c>
      <c r="H254" s="218">
        <f>AH17</f>
        <v>0</v>
      </c>
      <c r="I254" s="218"/>
      <c r="J254" s="218"/>
      <c r="K254" s="218"/>
      <c r="L254" s="247" t="str">
        <f>LOOKUP(G17,squad!$B$18:$B$59,squad!$G$18:$G$59)</f>
        <v> </v>
      </c>
      <c r="M254" s="226" t="s">
        <v>10</v>
      </c>
      <c r="N254" s="218">
        <f>AI17</f>
        <v>0</v>
      </c>
      <c r="O254" s="218"/>
      <c r="P254" s="218"/>
      <c r="Q254" s="218"/>
      <c r="R254" s="232" t="str">
        <f>LOOKUP(M17,squad!$B$18:$B$59,squad!$G$18:$G$59)</f>
        <v> </v>
      </c>
      <c r="S254" s="226" t="s">
        <v>10</v>
      </c>
      <c r="T254" s="218">
        <f>AJ17</f>
        <v>0</v>
      </c>
      <c r="U254" s="218"/>
      <c r="V254" s="218"/>
      <c r="W254" s="218"/>
      <c r="X254" s="232" t="str">
        <f>LOOKUP(S17,squad!$B$18:$B$59,squad!$G$18:$G$59)</f>
        <v> </v>
      </c>
      <c r="Y254" s="226" t="s">
        <v>10</v>
      </c>
      <c r="Z254" s="218">
        <f>AK17</f>
        <v>0</v>
      </c>
      <c r="AA254" s="218"/>
      <c r="AB254" s="218"/>
      <c r="AC254" s="218"/>
      <c r="AD254" s="232" t="str">
        <f>LOOKUP(Y17,squad!$B$18:$B$59,squad!$G$18:$G$59)</f>
        <v> </v>
      </c>
    </row>
    <row r="255" spans="1:30" ht="13.5" hidden="1" thickBot="1">
      <c r="A255" s="25" t="s">
        <v>11</v>
      </c>
      <c r="B255" s="1">
        <f aca="true" t="shared" si="91" ref="B255:B273">AG18</f>
        <v>0</v>
      </c>
      <c r="C255" s="1"/>
      <c r="D255" s="1"/>
      <c r="E255" s="1"/>
      <c r="F255" s="230" t="str">
        <f>LOOKUP(A18,squad!$B$18:$B$59,squad!$G$18:$G$59)</f>
        <v> </v>
      </c>
      <c r="G255" s="25" t="s">
        <v>11</v>
      </c>
      <c r="H255" s="1">
        <f>AH18</f>
        <v>0</v>
      </c>
      <c r="I255" s="1"/>
      <c r="J255" s="1"/>
      <c r="K255" s="1"/>
      <c r="L255" s="41" t="str">
        <f>LOOKUP(G18,squad!$B$18:$B$59,squad!$G$18:$G$59)</f>
        <v> </v>
      </c>
      <c r="M255" s="25" t="s">
        <v>11</v>
      </c>
      <c r="N255" s="1">
        <f aca="true" t="shared" si="92" ref="N255:N273">AI18</f>
        <v>0</v>
      </c>
      <c r="O255" s="1"/>
      <c r="P255" s="1"/>
      <c r="Q255" s="1"/>
      <c r="R255" s="230" t="str">
        <f>LOOKUP(M18,squad!$B$18:$B$59,squad!$G$18:$G$59)</f>
        <v> </v>
      </c>
      <c r="S255" s="25" t="s">
        <v>11</v>
      </c>
      <c r="T255" s="1">
        <f aca="true" t="shared" si="93" ref="T255:T273">AJ18</f>
        <v>0</v>
      </c>
      <c r="U255" s="1"/>
      <c r="V255" s="1"/>
      <c r="W255" s="1"/>
      <c r="X255" s="230" t="str">
        <f>LOOKUP(S18,squad!$B$18:$B$59,squad!$G$18:$G$59)</f>
        <v> </v>
      </c>
      <c r="Y255" s="25" t="s">
        <v>11</v>
      </c>
      <c r="Z255" s="1">
        <f aca="true" t="shared" si="94" ref="Z255:Z273">AK18</f>
        <v>0</v>
      </c>
      <c r="AA255" s="1"/>
      <c r="AB255" s="1"/>
      <c r="AC255" s="1"/>
      <c r="AD255" s="230" t="str">
        <f>LOOKUP(Y18,squad!$B$18:$B$59,squad!$G$18:$G$59)</f>
        <v> </v>
      </c>
    </row>
    <row r="256" spans="1:30" ht="12.75" hidden="1">
      <c r="A256" s="226" t="s">
        <v>12</v>
      </c>
      <c r="B256" s="218">
        <f t="shared" si="91"/>
        <v>0</v>
      </c>
      <c r="C256" s="218">
        <f>IF(E11="H",IF(B256="FB",IF(F256="I",1,IF(F256="II",2,IF(F256="III",3,IF(F256="IV",4,IF(F256="V",5,0))))),0),0)</f>
        <v>0</v>
      </c>
      <c r="D256" s="218">
        <f>IF(A18="",-C256,0)</f>
        <v>0</v>
      </c>
      <c r="E256" s="218"/>
      <c r="F256" s="232" t="str">
        <f>LOOKUP(A19,squad!$B$18:$B$59,squad!$G$18:$G$59)</f>
        <v> </v>
      </c>
      <c r="G256" s="226" t="s">
        <v>12</v>
      </c>
      <c r="H256" s="218">
        <f aca="true" t="shared" si="95" ref="H256:H273">AH19</f>
        <v>0</v>
      </c>
      <c r="I256" s="218">
        <f aca="true" t="shared" si="96" ref="I256:I261">IF($K$11="H",IF(H256="FB",IF(L256="I",1,IF(L256="II",2,IF(L256="III",3,IF(L256="IV",4,IF(L256="V",5,0))))),0),0)</f>
        <v>0</v>
      </c>
      <c r="J256" s="218">
        <f>IF(G18="",-I256,0)</f>
        <v>0</v>
      </c>
      <c r="K256" s="218"/>
      <c r="L256" s="247" t="str">
        <f>LOOKUP(G19,squad!$B$18:$B$59,squad!$G$18:$G$59)</f>
        <v> </v>
      </c>
      <c r="M256" s="226" t="s">
        <v>12</v>
      </c>
      <c r="N256" s="218">
        <f t="shared" si="92"/>
        <v>0</v>
      </c>
      <c r="O256" s="218">
        <f aca="true" t="shared" si="97" ref="O256:O261">IF($Q$11="H",IF(N256="FB",IF(R256="I",1,IF(R256="II",2,IF(R256="III",3,IF(R256="IV",4,IF(R256="V",5,0))))),0),0)</f>
        <v>0</v>
      </c>
      <c r="P256" s="218">
        <f>IF(M18="",-O256,0)</f>
        <v>0</v>
      </c>
      <c r="Q256" s="218"/>
      <c r="R256" s="232" t="str">
        <f>LOOKUP(M19,squad!$B$18:$B$59,squad!$G$18:$G$59)</f>
        <v> </v>
      </c>
      <c r="S256" s="226" t="s">
        <v>12</v>
      </c>
      <c r="T256" s="218">
        <f t="shared" si="93"/>
        <v>0</v>
      </c>
      <c r="U256" s="218">
        <f aca="true" t="shared" si="98" ref="U256:U261">IF($W$11="H",IF(T256="FB",IF(X256="I",1,IF(X256="II",2,IF(X256="III",3,IF(X256="IV",4,IF(X256="V",5,0))))),0),0)</f>
        <v>0</v>
      </c>
      <c r="V256" s="218">
        <f>IF(S18="",-U256,0)</f>
        <v>0</v>
      </c>
      <c r="W256" s="218"/>
      <c r="X256" s="232" t="str">
        <f>LOOKUP(S19,squad!$B$18:$B$59,squad!$G$18:$G$59)</f>
        <v> </v>
      </c>
      <c r="Y256" s="218" t="s">
        <v>12</v>
      </c>
      <c r="Z256" s="218">
        <f t="shared" si="94"/>
        <v>0</v>
      </c>
      <c r="AA256" s="218">
        <f aca="true" t="shared" si="99" ref="AA256:AA261">IF($AC$11="H",IF(Z256="FB",IF(AD256="I",1,IF(AD256="II",2,IF(AD256="III",3,IF(AD256="IV",4,IF(AD256="V",5,0))))),0),0)</f>
        <v>0</v>
      </c>
      <c r="AB256" s="218">
        <f>IF(Y18="",-AA256,0)</f>
        <v>0</v>
      </c>
      <c r="AC256" s="218"/>
      <c r="AD256" s="232" t="str">
        <f>LOOKUP(Y19,squad!$B$18:$B$59,squad!$G$18:$G$59)</f>
        <v> </v>
      </c>
    </row>
    <row r="257" spans="1:30" ht="12.75" hidden="1">
      <c r="A257" s="25" t="s">
        <v>12</v>
      </c>
      <c r="B257" s="1">
        <f t="shared" si="91"/>
        <v>0</v>
      </c>
      <c r="C257" s="1">
        <f>IF(E11="H",IF(B257="FB",IF(F257="I",1,IF(F257="II",2,IF(F257="III",3,IF(F257="IV",4,IF(F257="V",5,0))))),0),0)</f>
        <v>0</v>
      </c>
      <c r="D257" s="1">
        <f>IF(A18="",-C257,0)</f>
        <v>0</v>
      </c>
      <c r="E257" s="1"/>
      <c r="F257" s="230" t="str">
        <f>LOOKUP(A20,squad!$B$18:$B$59,squad!$G$18:$G$59)</f>
        <v> </v>
      </c>
      <c r="G257" s="25" t="s">
        <v>12</v>
      </c>
      <c r="H257" s="1">
        <f t="shared" si="95"/>
        <v>0</v>
      </c>
      <c r="I257" s="1">
        <f t="shared" si="96"/>
        <v>0</v>
      </c>
      <c r="J257" s="1">
        <f>IF(G18="",-I257,0)</f>
        <v>0</v>
      </c>
      <c r="K257" s="1"/>
      <c r="L257" s="41" t="str">
        <f>LOOKUP(G20,squad!$B$18:$B$59,squad!$G$18:$G$59)</f>
        <v> </v>
      </c>
      <c r="M257" s="25" t="s">
        <v>12</v>
      </c>
      <c r="N257" s="1">
        <f t="shared" si="92"/>
        <v>0</v>
      </c>
      <c r="O257" s="1">
        <f t="shared" si="97"/>
        <v>0</v>
      </c>
      <c r="P257" s="1">
        <f>IF(M18="",-O257,0)</f>
        <v>0</v>
      </c>
      <c r="Q257" s="1"/>
      <c r="R257" s="230" t="str">
        <f>LOOKUP(M20,squad!$B$18:$B$59,squad!$G$18:$G$59)</f>
        <v> </v>
      </c>
      <c r="S257" s="25" t="s">
        <v>12</v>
      </c>
      <c r="T257" s="1">
        <f t="shared" si="93"/>
        <v>0</v>
      </c>
      <c r="U257" s="1">
        <f t="shared" si="98"/>
        <v>0</v>
      </c>
      <c r="V257" s="1">
        <f>IF(S18="",-U257,0)</f>
        <v>0</v>
      </c>
      <c r="W257" s="1"/>
      <c r="X257" s="230" t="str">
        <f>LOOKUP(S20,squad!$B$18:$B$59,squad!$G$18:$G$59)</f>
        <v> </v>
      </c>
      <c r="Y257" s="1" t="s">
        <v>12</v>
      </c>
      <c r="Z257" s="1">
        <f t="shared" si="94"/>
        <v>0</v>
      </c>
      <c r="AA257" s="1">
        <f t="shared" si="99"/>
        <v>0</v>
      </c>
      <c r="AB257" s="1">
        <f>IF(Y18="",-AA257,0)</f>
        <v>0</v>
      </c>
      <c r="AC257" s="1"/>
      <c r="AD257" s="230" t="str">
        <f>LOOKUP(Y20,squad!$B$18:$B$59,squad!$G$18:$G$59)</f>
        <v> </v>
      </c>
    </row>
    <row r="258" spans="1:30" ht="12.75" hidden="1">
      <c r="A258" s="25" t="s">
        <v>12</v>
      </c>
      <c r="B258" s="1">
        <f t="shared" si="91"/>
        <v>0</v>
      </c>
      <c r="C258" s="1">
        <f>IF(E11="H",IF(B258="FB",IF(F258="I",1,IF(F258="II",2,IF(F258="III",3,IF(F258="IV",4,IF(F258="V",5,0))))),0),0)</f>
        <v>0</v>
      </c>
      <c r="D258" s="1">
        <f>IF(A18="",0,-C258)</f>
        <v>0</v>
      </c>
      <c r="E258" s="1"/>
      <c r="F258" s="230" t="str">
        <f>LOOKUP(A21,squad!$B$18:$B$59,squad!$G$18:$G$59)</f>
        <v> </v>
      </c>
      <c r="G258" s="25" t="s">
        <v>12</v>
      </c>
      <c r="H258" s="1">
        <f t="shared" si="95"/>
        <v>0</v>
      </c>
      <c r="I258" s="1">
        <f t="shared" si="96"/>
        <v>0</v>
      </c>
      <c r="J258" s="1">
        <f>IF(G18="",0,-I258)</f>
        <v>0</v>
      </c>
      <c r="K258" s="1"/>
      <c r="L258" s="41" t="str">
        <f>LOOKUP(G21,squad!$B$18:$B$59,squad!$G$18:$G$59)</f>
        <v> </v>
      </c>
      <c r="M258" s="25" t="s">
        <v>12</v>
      </c>
      <c r="N258" s="1">
        <f t="shared" si="92"/>
        <v>0</v>
      </c>
      <c r="O258" s="1">
        <f t="shared" si="97"/>
        <v>0</v>
      </c>
      <c r="P258" s="1">
        <f>IF(M18="",0,-O258)</f>
        <v>0</v>
      </c>
      <c r="Q258" s="1"/>
      <c r="R258" s="230" t="str">
        <f>LOOKUP(M21,squad!$B$18:$B$59,squad!$G$18:$G$59)</f>
        <v> </v>
      </c>
      <c r="S258" s="25" t="s">
        <v>12</v>
      </c>
      <c r="T258" s="1">
        <f t="shared" si="93"/>
        <v>0</v>
      </c>
      <c r="U258" s="1">
        <f t="shared" si="98"/>
        <v>0</v>
      </c>
      <c r="V258" s="1">
        <f>IF(S18="",0,-U258)</f>
        <v>0</v>
      </c>
      <c r="W258" s="1"/>
      <c r="X258" s="230" t="str">
        <f>LOOKUP(S21,squad!$B$18:$B$59,squad!$G$18:$G$59)</f>
        <v> </v>
      </c>
      <c r="Y258" s="1" t="s">
        <v>12</v>
      </c>
      <c r="Z258" s="1">
        <f t="shared" si="94"/>
        <v>0</v>
      </c>
      <c r="AA258" s="1">
        <f t="shared" si="99"/>
        <v>0</v>
      </c>
      <c r="AB258" s="1">
        <f>IF(Y18="",0,-AA258)</f>
        <v>0</v>
      </c>
      <c r="AC258" s="1"/>
      <c r="AD258" s="230" t="str">
        <f>LOOKUP(Y21,squad!$B$18:$B$59,squad!$G$18:$G$59)</f>
        <v> </v>
      </c>
    </row>
    <row r="259" spans="1:30" ht="12.75" hidden="1">
      <c r="A259" s="25" t="s">
        <v>12</v>
      </c>
      <c r="B259" s="1">
        <f t="shared" si="91"/>
        <v>0</v>
      </c>
      <c r="C259" s="1">
        <f>IF(E11="H",IF(B259="FB",IF(F259="I",1,IF(F259="II",2,IF(F259="III",3,IF(F259="IV",4,IF(F259="V",5,0))))),0),0)</f>
        <v>0</v>
      </c>
      <c r="D259" s="1">
        <f>IF(A18="",0,-C259)</f>
        <v>0</v>
      </c>
      <c r="E259" s="1"/>
      <c r="F259" s="230" t="str">
        <f>LOOKUP(A22,squad!$B$18:$B$59,squad!$G$18:$G$59)</f>
        <v> </v>
      </c>
      <c r="G259" s="25" t="s">
        <v>12</v>
      </c>
      <c r="H259" s="1">
        <f t="shared" si="95"/>
        <v>0</v>
      </c>
      <c r="I259" s="1">
        <f t="shared" si="96"/>
        <v>0</v>
      </c>
      <c r="J259" s="1">
        <f>IF(G18="",0,-I259)</f>
        <v>0</v>
      </c>
      <c r="K259" s="1"/>
      <c r="L259" s="41" t="str">
        <f>LOOKUP(G22,squad!$B$18:$B$59,squad!$G$18:$G$59)</f>
        <v> </v>
      </c>
      <c r="M259" s="25" t="s">
        <v>12</v>
      </c>
      <c r="N259" s="1">
        <f t="shared" si="92"/>
        <v>0</v>
      </c>
      <c r="O259" s="1">
        <f t="shared" si="97"/>
        <v>0</v>
      </c>
      <c r="P259" s="1">
        <f>IF(M18="",0,-O259)</f>
        <v>0</v>
      </c>
      <c r="Q259" s="1"/>
      <c r="R259" s="230" t="str">
        <f>LOOKUP(M22,squad!$B$18:$B$59,squad!$G$18:$G$59)</f>
        <v> </v>
      </c>
      <c r="S259" s="25" t="s">
        <v>12</v>
      </c>
      <c r="T259" s="1">
        <f t="shared" si="93"/>
        <v>0</v>
      </c>
      <c r="U259" s="1">
        <f t="shared" si="98"/>
        <v>0</v>
      </c>
      <c r="V259" s="1">
        <f>IF(S18="",0,-U259)</f>
        <v>0</v>
      </c>
      <c r="W259" s="1"/>
      <c r="X259" s="230" t="str">
        <f>LOOKUP(S22,squad!$B$18:$B$59,squad!$G$18:$G$59)</f>
        <v> </v>
      </c>
      <c r="Y259" s="1" t="s">
        <v>12</v>
      </c>
      <c r="Z259" s="1">
        <f t="shared" si="94"/>
        <v>0</v>
      </c>
      <c r="AA259" s="1">
        <f t="shared" si="99"/>
        <v>0</v>
      </c>
      <c r="AB259" s="1">
        <f>IF(Y18="",0,-AA259)</f>
        <v>0</v>
      </c>
      <c r="AC259" s="1"/>
      <c r="AD259" s="230" t="str">
        <f>LOOKUP(Y22,squad!$B$18:$B$59,squad!$G$18:$G$59)</f>
        <v> </v>
      </c>
    </row>
    <row r="260" spans="1:30" ht="12.75" hidden="1">
      <c r="A260" s="25" t="s">
        <v>12</v>
      </c>
      <c r="B260" s="1">
        <f t="shared" si="91"/>
        <v>0</v>
      </c>
      <c r="C260" s="1">
        <f>IF(E11="H",IF(B260="FB",IF(F260="I",1,IF(F260="II",2,IF(F260="III",3,IF(F260="IV",4,IF(F260="V",5,0))))),0),0)</f>
        <v>0</v>
      </c>
      <c r="D260" s="1">
        <f>IF(A18="",0,-C260)</f>
        <v>0</v>
      </c>
      <c r="E260" s="1"/>
      <c r="F260" s="230" t="str">
        <f>LOOKUP(A23,squad!$B$18:$B$59,squad!$G$18:$G$59)</f>
        <v> </v>
      </c>
      <c r="G260" s="25" t="s">
        <v>12</v>
      </c>
      <c r="H260" s="1">
        <f t="shared" si="95"/>
        <v>0</v>
      </c>
      <c r="I260" s="1">
        <f t="shared" si="96"/>
        <v>0</v>
      </c>
      <c r="J260" s="1">
        <f>IF(G18="",0,-I260)</f>
        <v>0</v>
      </c>
      <c r="K260" s="1"/>
      <c r="L260" s="41" t="str">
        <f>LOOKUP(G23,squad!$B$18:$B$59,squad!$G$18:$G$59)</f>
        <v> </v>
      </c>
      <c r="M260" s="25" t="s">
        <v>12</v>
      </c>
      <c r="N260" s="1">
        <f t="shared" si="92"/>
        <v>0</v>
      </c>
      <c r="O260" s="1">
        <f t="shared" si="97"/>
        <v>0</v>
      </c>
      <c r="P260" s="1">
        <f>IF(M18="",0,-O260)</f>
        <v>0</v>
      </c>
      <c r="Q260" s="1"/>
      <c r="R260" s="230" t="str">
        <f>LOOKUP(M23,squad!$B$18:$B$59,squad!$G$18:$G$59)</f>
        <v> </v>
      </c>
      <c r="S260" s="25" t="s">
        <v>12</v>
      </c>
      <c r="T260" s="1">
        <f t="shared" si="93"/>
        <v>0</v>
      </c>
      <c r="U260" s="1">
        <f t="shared" si="98"/>
        <v>0</v>
      </c>
      <c r="V260" s="1">
        <f>IF(S18="",0,-U260)</f>
        <v>0</v>
      </c>
      <c r="W260" s="1"/>
      <c r="X260" s="230" t="str">
        <f>LOOKUP(S23,squad!$B$18:$B$59,squad!$G$18:$G$59)</f>
        <v> </v>
      </c>
      <c r="Y260" s="1" t="s">
        <v>12</v>
      </c>
      <c r="Z260" s="1">
        <f t="shared" si="94"/>
        <v>0</v>
      </c>
      <c r="AA260" s="1">
        <f t="shared" si="99"/>
        <v>0</v>
      </c>
      <c r="AB260" s="1">
        <f>IF(Y18="",0,-AA260)</f>
        <v>0</v>
      </c>
      <c r="AC260" s="1"/>
      <c r="AD260" s="230" t="str">
        <f>LOOKUP(Y23,squad!$B$18:$B$59,squad!$G$18:$G$59)</f>
        <v> </v>
      </c>
    </row>
    <row r="261" spans="1:30" ht="13.5" hidden="1" thickBot="1">
      <c r="A261" s="221" t="s">
        <v>12</v>
      </c>
      <c r="B261" s="26">
        <f t="shared" si="91"/>
        <v>0</v>
      </c>
      <c r="C261" s="26">
        <f>IF(E11="H",IF(B261="FB",IF(F261="I",1,IF(F261="II",2,IF(F261="III",3,IF(F261="IV",4,IF(F261="V",5,0))))),0),0)</f>
        <v>0</v>
      </c>
      <c r="D261" s="26">
        <f>IF(A18="",0,-C261)</f>
        <v>0</v>
      </c>
      <c r="E261" s="26"/>
      <c r="F261" s="231" t="str">
        <f>LOOKUP(A24,squad!$B$18:$B$59,squad!$G$18:$G$59)</f>
        <v> </v>
      </c>
      <c r="G261" s="221" t="s">
        <v>12</v>
      </c>
      <c r="H261" s="26">
        <f t="shared" si="95"/>
        <v>0</v>
      </c>
      <c r="I261" s="26">
        <f t="shared" si="96"/>
        <v>0</v>
      </c>
      <c r="J261" s="26">
        <f>IF(G18="",0,-I261)</f>
        <v>0</v>
      </c>
      <c r="K261" s="26"/>
      <c r="L261" s="44" t="str">
        <f>LOOKUP(G24,squad!$B$18:$B$59,squad!$G$18:$G$59)</f>
        <v> </v>
      </c>
      <c r="M261" s="221" t="s">
        <v>12</v>
      </c>
      <c r="N261" s="26">
        <f t="shared" si="92"/>
        <v>0</v>
      </c>
      <c r="O261" s="26">
        <f t="shared" si="97"/>
        <v>0</v>
      </c>
      <c r="P261" s="26">
        <f>IF(M18="",0,-O261)</f>
        <v>0</v>
      </c>
      <c r="Q261" s="26"/>
      <c r="R261" s="231" t="str">
        <f>LOOKUP(M24,squad!$B$18:$B$59,squad!$G$18:$G$59)</f>
        <v> </v>
      </c>
      <c r="S261" s="221" t="s">
        <v>12</v>
      </c>
      <c r="T261" s="26">
        <f t="shared" si="93"/>
        <v>0</v>
      </c>
      <c r="U261" s="26">
        <f t="shared" si="98"/>
        <v>0</v>
      </c>
      <c r="V261" s="26">
        <f>IF(S18="",0,-U261)</f>
        <v>0</v>
      </c>
      <c r="W261" s="26"/>
      <c r="X261" s="231" t="str">
        <f>LOOKUP(S24,squad!$B$18:$B$59,squad!$G$18:$G$59)</f>
        <v> </v>
      </c>
      <c r="Y261" s="26" t="s">
        <v>12</v>
      </c>
      <c r="Z261" s="26">
        <f t="shared" si="94"/>
        <v>0</v>
      </c>
      <c r="AA261" s="26">
        <f t="shared" si="99"/>
        <v>0</v>
      </c>
      <c r="AB261" s="26">
        <f>IF(Y18="",0,-AA261)</f>
        <v>0</v>
      </c>
      <c r="AC261" s="26"/>
      <c r="AD261" s="231" t="str">
        <f>LOOKUP(Y24,squad!$B$18:$B$59,squad!$G$18:$G$59)</f>
        <v> </v>
      </c>
    </row>
    <row r="262" spans="1:30" ht="12.75" hidden="1">
      <c r="A262" s="25" t="s">
        <v>13</v>
      </c>
      <c r="B262" s="1">
        <f t="shared" si="91"/>
        <v>0</v>
      </c>
      <c r="C262" s="1"/>
      <c r="D262" s="1"/>
      <c r="E262" s="1"/>
      <c r="F262" s="230" t="str">
        <f>LOOKUP(A25,squad!$B$18:$B$59,squad!$G$18:$G$59)</f>
        <v> </v>
      </c>
      <c r="G262" s="25" t="s">
        <v>13</v>
      </c>
      <c r="H262" s="1">
        <f t="shared" si="95"/>
        <v>0</v>
      </c>
      <c r="I262" s="1"/>
      <c r="J262" s="1"/>
      <c r="K262" s="1"/>
      <c r="L262" s="41" t="str">
        <f>LOOKUP(G25,squad!$B$18:$B$59,squad!$G$18:$G$59)</f>
        <v> </v>
      </c>
      <c r="M262" s="25" t="s">
        <v>13</v>
      </c>
      <c r="N262" s="1">
        <f t="shared" si="92"/>
        <v>0</v>
      </c>
      <c r="O262" s="1"/>
      <c r="P262" s="1"/>
      <c r="Q262" s="1"/>
      <c r="R262" s="230" t="str">
        <f>LOOKUP(M25,squad!$B$18:$B$59,squad!$G$18:$G$59)</f>
        <v> </v>
      </c>
      <c r="S262" s="25" t="s">
        <v>13</v>
      </c>
      <c r="T262" s="1">
        <f t="shared" si="93"/>
        <v>0</v>
      </c>
      <c r="U262" s="1"/>
      <c r="V262" s="1"/>
      <c r="W262" s="1"/>
      <c r="X262" s="230" t="str">
        <f>LOOKUP(S25,squad!$B$18:$B$59,squad!$G$18:$G$59)</f>
        <v> </v>
      </c>
      <c r="Y262" s="25" t="s">
        <v>13</v>
      </c>
      <c r="Z262" s="1">
        <f t="shared" si="94"/>
        <v>0</v>
      </c>
      <c r="AA262" s="1"/>
      <c r="AB262" s="1"/>
      <c r="AC262" s="1"/>
      <c r="AD262" s="230" t="str">
        <f>LOOKUP(Y25,squad!$B$18:$B$59,squad!$G$18:$G$59)</f>
        <v> </v>
      </c>
    </row>
    <row r="263" spans="1:30" ht="12.75" hidden="1">
      <c r="A263" s="25" t="s">
        <v>13</v>
      </c>
      <c r="B263" s="1">
        <f t="shared" si="91"/>
        <v>0</v>
      </c>
      <c r="C263" s="1"/>
      <c r="D263" s="1"/>
      <c r="E263" s="1"/>
      <c r="F263" s="230" t="str">
        <f>LOOKUP(A26,squad!$B$18:$B$59,squad!$G$18:$G$59)</f>
        <v> </v>
      </c>
      <c r="G263" s="25" t="s">
        <v>13</v>
      </c>
      <c r="H263" s="1">
        <f t="shared" si="95"/>
        <v>0</v>
      </c>
      <c r="I263" s="1"/>
      <c r="J263" s="1"/>
      <c r="K263" s="1"/>
      <c r="L263" s="41" t="str">
        <f>LOOKUP(G26,squad!$B$18:$B$59,squad!$G$18:$G$59)</f>
        <v> </v>
      </c>
      <c r="M263" s="25" t="s">
        <v>13</v>
      </c>
      <c r="N263" s="1">
        <f t="shared" si="92"/>
        <v>0</v>
      </c>
      <c r="O263" s="1"/>
      <c r="P263" s="1"/>
      <c r="Q263" s="1"/>
      <c r="R263" s="230" t="str">
        <f>LOOKUP(M26,squad!$B$18:$B$59,squad!$G$18:$G$59)</f>
        <v> </v>
      </c>
      <c r="S263" s="25" t="s">
        <v>13</v>
      </c>
      <c r="T263" s="1">
        <f t="shared" si="93"/>
        <v>0</v>
      </c>
      <c r="U263" s="1"/>
      <c r="V263" s="1"/>
      <c r="W263" s="1"/>
      <c r="X263" s="230" t="str">
        <f>LOOKUP(S26,squad!$B$18:$B$59,squad!$G$18:$G$59)</f>
        <v> </v>
      </c>
      <c r="Y263" s="25" t="s">
        <v>13</v>
      </c>
      <c r="Z263" s="1">
        <f t="shared" si="94"/>
        <v>0</v>
      </c>
      <c r="AA263" s="1"/>
      <c r="AB263" s="1"/>
      <c r="AC263" s="1"/>
      <c r="AD263" s="230" t="str">
        <f>LOOKUP(Y26,squad!$B$18:$B$59,squad!$G$18:$G$59)</f>
        <v> </v>
      </c>
    </row>
    <row r="264" spans="1:30" ht="12.75" hidden="1">
      <c r="A264" s="25" t="s">
        <v>13</v>
      </c>
      <c r="B264" s="1">
        <f t="shared" si="91"/>
        <v>0</v>
      </c>
      <c r="C264" s="1"/>
      <c r="D264" s="1"/>
      <c r="E264" s="1"/>
      <c r="F264" s="230" t="str">
        <f>LOOKUP(A27,squad!$B$18:$B$59,squad!$G$18:$G$59)</f>
        <v> </v>
      </c>
      <c r="G264" s="25" t="s">
        <v>13</v>
      </c>
      <c r="H264" s="1">
        <f t="shared" si="95"/>
        <v>0</v>
      </c>
      <c r="I264" s="1"/>
      <c r="J264" s="1"/>
      <c r="K264" s="1"/>
      <c r="L264" s="41" t="str">
        <f>LOOKUP(G27,squad!$B$18:$B$59,squad!$G$18:$G$59)</f>
        <v> </v>
      </c>
      <c r="M264" s="25" t="s">
        <v>13</v>
      </c>
      <c r="N264" s="1">
        <f t="shared" si="92"/>
        <v>0</v>
      </c>
      <c r="O264" s="1"/>
      <c r="P264" s="1"/>
      <c r="Q264" s="1"/>
      <c r="R264" s="230" t="str">
        <f>LOOKUP(M27,squad!$B$18:$B$59,squad!$G$18:$G$59)</f>
        <v> </v>
      </c>
      <c r="S264" s="25" t="s">
        <v>13</v>
      </c>
      <c r="T264" s="1">
        <f t="shared" si="93"/>
        <v>0</v>
      </c>
      <c r="U264" s="1"/>
      <c r="V264" s="1"/>
      <c r="W264" s="1"/>
      <c r="X264" s="230" t="str">
        <f>LOOKUP(S27,squad!$B$18:$B$59,squad!$G$18:$G$59)</f>
        <v> </v>
      </c>
      <c r="Y264" s="25" t="s">
        <v>13</v>
      </c>
      <c r="Z264" s="1">
        <f t="shared" si="94"/>
        <v>0</v>
      </c>
      <c r="AA264" s="1"/>
      <c r="AB264" s="1"/>
      <c r="AC264" s="1"/>
      <c r="AD264" s="230" t="str">
        <f>LOOKUP(Y27,squad!$B$18:$B$59,squad!$G$18:$G$59)</f>
        <v> </v>
      </c>
    </row>
    <row r="265" spans="1:30" ht="12.75" hidden="1">
      <c r="A265" s="25" t="s">
        <v>13</v>
      </c>
      <c r="B265" s="1">
        <f t="shared" si="91"/>
        <v>0</v>
      </c>
      <c r="C265" s="1"/>
      <c r="D265" s="1"/>
      <c r="E265" s="1"/>
      <c r="F265" s="230" t="str">
        <f>LOOKUP(A28,squad!$B$18:$B$59,squad!$G$18:$G$59)</f>
        <v> </v>
      </c>
      <c r="G265" s="25" t="s">
        <v>13</v>
      </c>
      <c r="H265" s="1">
        <f t="shared" si="95"/>
        <v>0</v>
      </c>
      <c r="I265" s="1"/>
      <c r="J265" s="1"/>
      <c r="K265" s="1"/>
      <c r="L265" s="41" t="str">
        <f>LOOKUP(G28,squad!$B$18:$B$59,squad!$G$18:$G$59)</f>
        <v> </v>
      </c>
      <c r="M265" s="25" t="s">
        <v>13</v>
      </c>
      <c r="N265" s="1">
        <f t="shared" si="92"/>
        <v>0</v>
      </c>
      <c r="O265" s="1"/>
      <c r="P265" s="1"/>
      <c r="Q265" s="1"/>
      <c r="R265" s="230" t="str">
        <f>LOOKUP(M28,squad!$B$18:$B$59,squad!$G$18:$G$59)</f>
        <v> </v>
      </c>
      <c r="S265" s="25" t="s">
        <v>13</v>
      </c>
      <c r="T265" s="1">
        <f t="shared" si="93"/>
        <v>0</v>
      </c>
      <c r="U265" s="1"/>
      <c r="V265" s="1"/>
      <c r="W265" s="1"/>
      <c r="X265" s="230" t="str">
        <f>LOOKUP(S28,squad!$B$18:$B$59,squad!$G$18:$G$59)</f>
        <v> </v>
      </c>
      <c r="Y265" s="25" t="s">
        <v>13</v>
      </c>
      <c r="Z265" s="1">
        <f t="shared" si="94"/>
        <v>0</v>
      </c>
      <c r="AA265" s="1"/>
      <c r="AB265" s="1"/>
      <c r="AC265" s="1"/>
      <c r="AD265" s="230" t="str">
        <f>LOOKUP(Y28,squad!$B$18:$B$59,squad!$G$18:$G$59)</f>
        <v> </v>
      </c>
    </row>
    <row r="266" spans="1:30" ht="12.75" hidden="1">
      <c r="A266" s="25" t="s">
        <v>13</v>
      </c>
      <c r="B266" s="1">
        <f t="shared" si="91"/>
        <v>0</v>
      </c>
      <c r="C266" s="1"/>
      <c r="D266" s="1"/>
      <c r="E266" s="1"/>
      <c r="F266" s="230" t="str">
        <f>LOOKUP(A29,squad!$B$18:$B$59,squad!$G$18:$G$59)</f>
        <v> </v>
      </c>
      <c r="G266" s="25" t="s">
        <v>13</v>
      </c>
      <c r="H266" s="1">
        <f t="shared" si="95"/>
        <v>0</v>
      </c>
      <c r="I266" s="1"/>
      <c r="J266" s="1"/>
      <c r="K266" s="1"/>
      <c r="L266" s="41" t="str">
        <f>LOOKUP(G29,squad!$B$18:$B$59,squad!$G$18:$G$59)</f>
        <v> </v>
      </c>
      <c r="M266" s="25" t="s">
        <v>13</v>
      </c>
      <c r="N266" s="1">
        <f t="shared" si="92"/>
        <v>0</v>
      </c>
      <c r="O266" s="1"/>
      <c r="P266" s="1"/>
      <c r="Q266" s="1"/>
      <c r="R266" s="230" t="str">
        <f>LOOKUP(M29,squad!$B$18:$B$59,squad!$G$18:$G$59)</f>
        <v> </v>
      </c>
      <c r="S266" s="25" t="s">
        <v>13</v>
      </c>
      <c r="T266" s="1">
        <f t="shared" si="93"/>
        <v>0</v>
      </c>
      <c r="U266" s="1"/>
      <c r="V266" s="1"/>
      <c r="W266" s="1"/>
      <c r="X266" s="230" t="str">
        <f>LOOKUP(S29,squad!$B$18:$B$59,squad!$G$18:$G$59)</f>
        <v> </v>
      </c>
      <c r="Y266" s="25" t="s">
        <v>13</v>
      </c>
      <c r="Z266" s="1">
        <f t="shared" si="94"/>
        <v>0</v>
      </c>
      <c r="AA266" s="1"/>
      <c r="AB266" s="1"/>
      <c r="AC266" s="1"/>
      <c r="AD266" s="230" t="str">
        <f>LOOKUP(Y29,squad!$B$18:$B$59,squad!$G$18:$G$59)</f>
        <v> </v>
      </c>
    </row>
    <row r="267" spans="1:30" ht="13.5" hidden="1" thickBot="1">
      <c r="A267" s="221" t="s">
        <v>13</v>
      </c>
      <c r="B267" s="26">
        <f t="shared" si="91"/>
        <v>0</v>
      </c>
      <c r="C267" s="26"/>
      <c r="D267" s="26"/>
      <c r="E267" s="26"/>
      <c r="F267" s="231" t="str">
        <f>LOOKUP(A30,squad!$B$18:$B$59,squad!$G$18:$G$59)</f>
        <v> </v>
      </c>
      <c r="G267" s="221" t="s">
        <v>13</v>
      </c>
      <c r="H267" s="26">
        <f t="shared" si="95"/>
        <v>0</v>
      </c>
      <c r="I267" s="26"/>
      <c r="J267" s="26"/>
      <c r="K267" s="26"/>
      <c r="L267" s="44" t="str">
        <f>LOOKUP(G30,squad!$B$18:$B$59,squad!$G$18:$G$59)</f>
        <v> </v>
      </c>
      <c r="M267" s="25" t="s">
        <v>13</v>
      </c>
      <c r="N267" s="1">
        <f t="shared" si="92"/>
        <v>0</v>
      </c>
      <c r="O267" s="1"/>
      <c r="P267" s="1"/>
      <c r="Q267" s="1"/>
      <c r="R267" s="230" t="str">
        <f>LOOKUP(M30,squad!$B$18:$B$59,squad!$G$18:$G$59)</f>
        <v> </v>
      </c>
      <c r="S267" s="221" t="s">
        <v>13</v>
      </c>
      <c r="T267" s="26">
        <f t="shared" si="93"/>
        <v>0</v>
      </c>
      <c r="U267" s="26"/>
      <c r="V267" s="26"/>
      <c r="W267" s="26"/>
      <c r="X267" s="231" t="str">
        <f>LOOKUP(S30,squad!$B$18:$B$59,squad!$G$18:$G$59)</f>
        <v> </v>
      </c>
      <c r="Y267" s="221" t="s">
        <v>13</v>
      </c>
      <c r="Z267" s="26">
        <f t="shared" si="94"/>
        <v>0</v>
      </c>
      <c r="AA267" s="26"/>
      <c r="AB267" s="26"/>
      <c r="AC267" s="26"/>
      <c r="AD267" s="231" t="str">
        <f>LOOKUP(Y30,squad!$B$18:$B$59,squad!$G$18:$G$59)</f>
        <v> </v>
      </c>
    </row>
    <row r="268" spans="1:30" ht="12.75" hidden="1">
      <c r="A268" s="226" t="s">
        <v>14</v>
      </c>
      <c r="B268" s="218">
        <f t="shared" si="91"/>
        <v>0</v>
      </c>
      <c r="C268" s="218"/>
      <c r="D268" s="218"/>
      <c r="E268" s="218"/>
      <c r="F268" s="232" t="str">
        <f>LOOKUP(A31,squad!$B$18:$B$59,squad!$G$18:$G$59)</f>
        <v> </v>
      </c>
      <c r="G268" s="25" t="s">
        <v>14</v>
      </c>
      <c r="H268" s="1">
        <f t="shared" si="95"/>
        <v>0</v>
      </c>
      <c r="I268" s="1"/>
      <c r="J268" s="1"/>
      <c r="K268" s="1"/>
      <c r="L268" s="41" t="str">
        <f>LOOKUP(G31,squad!$B$18:$B$59,squad!$G$18:$G$59)</f>
        <v> </v>
      </c>
      <c r="M268" s="226" t="s">
        <v>14</v>
      </c>
      <c r="N268" s="218">
        <f t="shared" si="92"/>
        <v>0</v>
      </c>
      <c r="O268" s="218"/>
      <c r="P268" s="218"/>
      <c r="Q268" s="218"/>
      <c r="R268" s="232" t="str">
        <f>LOOKUP(M31,squad!$B$18:$B$59,squad!$G$18:$G$59)</f>
        <v> </v>
      </c>
      <c r="S268" s="25" t="s">
        <v>14</v>
      </c>
      <c r="T268" s="1">
        <f t="shared" si="93"/>
        <v>0</v>
      </c>
      <c r="U268" s="1"/>
      <c r="V268" s="1"/>
      <c r="W268" s="1"/>
      <c r="X268" s="230" t="str">
        <f>LOOKUP(S31,squad!$B$18:$B$59,squad!$G$18:$G$59)</f>
        <v> </v>
      </c>
      <c r="Y268" s="1" t="s">
        <v>14</v>
      </c>
      <c r="Z268" s="1">
        <f t="shared" si="94"/>
        <v>0</v>
      </c>
      <c r="AA268" s="1"/>
      <c r="AB268" s="1"/>
      <c r="AC268" s="1"/>
      <c r="AD268" s="230" t="str">
        <f>LOOKUP(Y31,squad!$B$18:$B$59,squad!$G$18:$G$59)</f>
        <v> </v>
      </c>
    </row>
    <row r="269" spans="1:30" ht="12.75" hidden="1">
      <c r="A269" s="25" t="s">
        <v>14</v>
      </c>
      <c r="B269" s="1">
        <f t="shared" si="91"/>
        <v>0</v>
      </c>
      <c r="C269" s="1"/>
      <c r="D269" s="1"/>
      <c r="E269" s="1"/>
      <c r="F269" s="230" t="str">
        <f>LOOKUP(A32,squad!$B$18:$B$59,squad!$G$18:$G$59)</f>
        <v> </v>
      </c>
      <c r="G269" s="25" t="s">
        <v>14</v>
      </c>
      <c r="H269" s="1">
        <f t="shared" si="95"/>
        <v>0</v>
      </c>
      <c r="I269" s="1"/>
      <c r="J269" s="1"/>
      <c r="K269" s="1"/>
      <c r="L269" s="41" t="str">
        <f>LOOKUP(G32,squad!$B$18:$B$59,squad!$G$18:$G$59)</f>
        <v> </v>
      </c>
      <c r="M269" s="25" t="s">
        <v>14</v>
      </c>
      <c r="N269" s="1">
        <f t="shared" si="92"/>
        <v>0</v>
      </c>
      <c r="O269" s="1"/>
      <c r="P269" s="1"/>
      <c r="Q269" s="1"/>
      <c r="R269" s="230" t="str">
        <f>LOOKUP(M32,squad!$B$18:$B$59,squad!$G$18:$G$59)</f>
        <v> </v>
      </c>
      <c r="S269" s="25" t="s">
        <v>14</v>
      </c>
      <c r="T269" s="1">
        <f t="shared" si="93"/>
        <v>0</v>
      </c>
      <c r="U269" s="1"/>
      <c r="V269" s="1"/>
      <c r="W269" s="1"/>
      <c r="X269" s="230" t="str">
        <f>LOOKUP(S32,squad!$B$18:$B$59,squad!$G$18:$G$59)</f>
        <v> </v>
      </c>
      <c r="Y269" s="1" t="s">
        <v>14</v>
      </c>
      <c r="Z269" s="1">
        <f t="shared" si="94"/>
        <v>0</v>
      </c>
      <c r="AA269" s="1"/>
      <c r="AB269" s="1"/>
      <c r="AC269" s="1"/>
      <c r="AD269" s="230" t="str">
        <f>LOOKUP(Y32,squad!$B$18:$B$59,squad!$G$18:$G$59)</f>
        <v> </v>
      </c>
    </row>
    <row r="270" spans="1:30" ht="12.75" hidden="1">
      <c r="A270" s="25" t="s">
        <v>14</v>
      </c>
      <c r="B270" s="1">
        <f t="shared" si="91"/>
        <v>0</v>
      </c>
      <c r="C270" s="1"/>
      <c r="D270" s="1"/>
      <c r="E270" s="1"/>
      <c r="F270" s="230" t="str">
        <f>LOOKUP(A33,squad!$B$18:$B$59,squad!$G$18:$G$59)</f>
        <v> </v>
      </c>
      <c r="G270" s="25" t="s">
        <v>14</v>
      </c>
      <c r="H270" s="1">
        <f t="shared" si="95"/>
        <v>0</v>
      </c>
      <c r="I270" s="1"/>
      <c r="J270" s="1"/>
      <c r="K270" s="1"/>
      <c r="L270" s="41" t="str">
        <f>LOOKUP(G33,squad!$B$18:$B$59,squad!$G$18:$G$59)</f>
        <v> </v>
      </c>
      <c r="M270" s="25" t="s">
        <v>14</v>
      </c>
      <c r="N270" s="1">
        <f t="shared" si="92"/>
        <v>0</v>
      </c>
      <c r="O270" s="1"/>
      <c r="P270" s="1"/>
      <c r="Q270" s="1"/>
      <c r="R270" s="230" t="str">
        <f>LOOKUP(M33,squad!$B$18:$B$59,squad!$G$18:$G$59)</f>
        <v> </v>
      </c>
      <c r="S270" s="25" t="s">
        <v>14</v>
      </c>
      <c r="T270" s="1">
        <f t="shared" si="93"/>
        <v>0</v>
      </c>
      <c r="U270" s="1"/>
      <c r="V270" s="1"/>
      <c r="W270" s="1"/>
      <c r="X270" s="230" t="str">
        <f>LOOKUP(S33,squad!$B$18:$B$59,squad!$G$18:$G$59)</f>
        <v> </v>
      </c>
      <c r="Y270" s="1" t="s">
        <v>14</v>
      </c>
      <c r="Z270" s="1">
        <f t="shared" si="94"/>
        <v>0</v>
      </c>
      <c r="AA270" s="1"/>
      <c r="AB270" s="1"/>
      <c r="AC270" s="1"/>
      <c r="AD270" s="230" t="str">
        <f>LOOKUP(Y33,squad!$B$18:$B$59,squad!$G$18:$G$59)</f>
        <v> </v>
      </c>
    </row>
    <row r="271" spans="1:30" ht="12.75" hidden="1">
      <c r="A271" s="25" t="s">
        <v>14</v>
      </c>
      <c r="B271" s="1">
        <f t="shared" si="91"/>
        <v>0</v>
      </c>
      <c r="C271" s="1"/>
      <c r="D271" s="1"/>
      <c r="E271" s="1"/>
      <c r="F271" s="230" t="str">
        <f>LOOKUP(A34,squad!$B$18:$B$59,squad!$G$18:$G$59)</f>
        <v> </v>
      </c>
      <c r="G271" s="25" t="s">
        <v>14</v>
      </c>
      <c r="H271" s="1">
        <f t="shared" si="95"/>
        <v>0</v>
      </c>
      <c r="I271" s="1"/>
      <c r="J271" s="1"/>
      <c r="K271" s="1"/>
      <c r="L271" s="41" t="str">
        <f>LOOKUP(G34,squad!$B$18:$B$59,squad!$G$18:$G$59)</f>
        <v> </v>
      </c>
      <c r="M271" s="25" t="s">
        <v>14</v>
      </c>
      <c r="N271" s="1">
        <f t="shared" si="92"/>
        <v>0</v>
      </c>
      <c r="O271" s="1"/>
      <c r="P271" s="1"/>
      <c r="Q271" s="1"/>
      <c r="R271" s="230" t="str">
        <f>LOOKUP(M34,squad!$B$18:$B$59,squad!$G$18:$G$59)</f>
        <v> </v>
      </c>
      <c r="S271" s="25" t="s">
        <v>14</v>
      </c>
      <c r="T271" s="1">
        <f t="shared" si="93"/>
        <v>0</v>
      </c>
      <c r="U271" s="1"/>
      <c r="V271" s="1"/>
      <c r="W271" s="1"/>
      <c r="X271" s="230" t="str">
        <f>LOOKUP(S34,squad!$B$18:$B$59,squad!$G$18:$G$59)</f>
        <v> </v>
      </c>
      <c r="Y271" s="1" t="s">
        <v>14</v>
      </c>
      <c r="Z271" s="1">
        <f t="shared" si="94"/>
        <v>0</v>
      </c>
      <c r="AA271" s="1"/>
      <c r="AB271" s="1"/>
      <c r="AC271" s="1"/>
      <c r="AD271" s="230" t="str">
        <f>LOOKUP(Y34,squad!$B$18:$B$59,squad!$G$18:$G$59)</f>
        <v> </v>
      </c>
    </row>
    <row r="272" spans="1:30" ht="12.75" hidden="1">
      <c r="A272" s="25" t="s">
        <v>14</v>
      </c>
      <c r="B272" s="1">
        <f t="shared" si="91"/>
        <v>0</v>
      </c>
      <c r="C272" s="1"/>
      <c r="D272" s="1"/>
      <c r="E272" s="1"/>
      <c r="F272" s="230" t="str">
        <f>LOOKUP(A35,squad!$B$18:$B$59,squad!$G$18:$G$59)</f>
        <v> </v>
      </c>
      <c r="G272" s="25" t="s">
        <v>14</v>
      </c>
      <c r="H272" s="1">
        <f t="shared" si="95"/>
        <v>0</v>
      </c>
      <c r="I272" s="1"/>
      <c r="J272" s="1"/>
      <c r="K272" s="1"/>
      <c r="L272" s="41" t="str">
        <f>LOOKUP(G35,squad!$B$18:$B$59,squad!$G$18:$G$59)</f>
        <v> </v>
      </c>
      <c r="M272" s="25" t="s">
        <v>14</v>
      </c>
      <c r="N272" s="1">
        <f t="shared" si="92"/>
        <v>0</v>
      </c>
      <c r="O272" s="1"/>
      <c r="P272" s="1"/>
      <c r="Q272" s="1"/>
      <c r="R272" s="230" t="str">
        <f>LOOKUP(M35,squad!$B$18:$B$59,squad!$G$18:$G$59)</f>
        <v> </v>
      </c>
      <c r="S272" s="25" t="s">
        <v>14</v>
      </c>
      <c r="T272" s="1">
        <f t="shared" si="93"/>
        <v>0</v>
      </c>
      <c r="U272" s="1"/>
      <c r="V272" s="1"/>
      <c r="W272" s="1"/>
      <c r="X272" s="230" t="str">
        <f>LOOKUP(S35,squad!$B$18:$B$59,squad!$G$18:$G$59)</f>
        <v> </v>
      </c>
      <c r="Y272" s="1" t="s">
        <v>14</v>
      </c>
      <c r="Z272" s="1">
        <f t="shared" si="94"/>
        <v>0</v>
      </c>
      <c r="AA272" s="1"/>
      <c r="AB272" s="1"/>
      <c r="AC272" s="1"/>
      <c r="AD272" s="230" t="str">
        <f>LOOKUP(Y35,squad!$B$18:$B$59,squad!$G$18:$G$59)</f>
        <v> </v>
      </c>
    </row>
    <row r="273" spans="1:30" ht="13.5" hidden="1" thickBot="1">
      <c r="A273" s="221" t="s">
        <v>14</v>
      </c>
      <c r="B273" s="26">
        <f t="shared" si="91"/>
        <v>0</v>
      </c>
      <c r="C273" s="26"/>
      <c r="D273" s="26"/>
      <c r="E273" s="26"/>
      <c r="F273" s="231" t="str">
        <f>LOOKUP(A36,squad!$B$18:$B$59,squad!$G$18:$G$59)</f>
        <v> </v>
      </c>
      <c r="G273" s="221" t="s">
        <v>14</v>
      </c>
      <c r="H273" s="26">
        <f t="shared" si="95"/>
        <v>0</v>
      </c>
      <c r="I273" s="26"/>
      <c r="J273" s="26"/>
      <c r="K273" s="26"/>
      <c r="L273" s="44" t="str">
        <f>LOOKUP(G36,squad!$B$18:$B$59,squad!$G$18:$G$59)</f>
        <v> </v>
      </c>
      <c r="M273" s="221" t="s">
        <v>14</v>
      </c>
      <c r="N273" s="26">
        <f t="shared" si="92"/>
        <v>0</v>
      </c>
      <c r="O273" s="26"/>
      <c r="P273" s="26"/>
      <c r="Q273" s="26"/>
      <c r="R273" s="231" t="str">
        <f>LOOKUP(M36,squad!$B$18:$B$59,squad!$G$18:$G$59)</f>
        <v> </v>
      </c>
      <c r="S273" s="221" t="s">
        <v>14</v>
      </c>
      <c r="T273" s="26">
        <f t="shared" si="93"/>
        <v>0</v>
      </c>
      <c r="U273" s="26"/>
      <c r="V273" s="26"/>
      <c r="W273" s="26"/>
      <c r="X273" s="231" t="str">
        <f>LOOKUP(S36,squad!$B$18:$B$59,squad!$G$18:$G$59)</f>
        <v> </v>
      </c>
      <c r="Y273" s="26" t="s">
        <v>14</v>
      </c>
      <c r="Z273" s="26">
        <f t="shared" si="94"/>
        <v>0</v>
      </c>
      <c r="AA273" s="26"/>
      <c r="AB273" s="26"/>
      <c r="AC273" s="26"/>
      <c r="AD273" s="231" t="str">
        <f>LOOKUP(Y36,squad!$B$18:$B$59,squad!$G$18:$G$59)</f>
        <v> </v>
      </c>
    </row>
    <row r="274" spans="1:30" ht="12.75" hidden="1">
      <c r="A274" s="222" t="s">
        <v>290</v>
      </c>
      <c r="B274" s="223"/>
      <c r="C274" s="223"/>
      <c r="D274" s="223"/>
      <c r="E274" s="223"/>
      <c r="F274" s="224"/>
      <c r="G274" s="159" t="s">
        <v>290</v>
      </c>
      <c r="H274" s="7"/>
      <c r="I274" s="7"/>
      <c r="J274" s="7"/>
      <c r="K274" s="7"/>
      <c r="L274" s="227"/>
      <c r="M274" s="222" t="s">
        <v>290</v>
      </c>
      <c r="N274" s="223"/>
      <c r="O274" s="223"/>
      <c r="P274" s="223"/>
      <c r="Q274" s="223"/>
      <c r="R274" s="224"/>
      <c r="S274" s="222" t="s">
        <v>290</v>
      </c>
      <c r="T274" s="223"/>
      <c r="U274" s="223"/>
      <c r="V274" s="223"/>
      <c r="W274" s="223"/>
      <c r="X274" s="224"/>
      <c r="Y274" s="222" t="s">
        <v>290</v>
      </c>
      <c r="Z274" s="223"/>
      <c r="AA274" s="223"/>
      <c r="AB274" s="223"/>
      <c r="AC274" s="223"/>
      <c r="AD274" s="224"/>
    </row>
    <row r="275" spans="1:30" ht="13.5" hidden="1" thickBot="1">
      <c r="A275" s="160"/>
      <c r="B275" s="161" t="s">
        <v>287</v>
      </c>
      <c r="C275" s="161"/>
      <c r="D275" s="161"/>
      <c r="E275" s="161"/>
      <c r="F275" s="225"/>
      <c r="G275" s="159"/>
      <c r="H275" s="7" t="s">
        <v>287</v>
      </c>
      <c r="I275" s="7"/>
      <c r="J275" s="7"/>
      <c r="K275" s="7"/>
      <c r="L275" s="227"/>
      <c r="M275" s="159"/>
      <c r="N275" s="7" t="s">
        <v>287</v>
      </c>
      <c r="O275" s="7"/>
      <c r="P275" s="7"/>
      <c r="Q275" s="7"/>
      <c r="R275" s="227"/>
      <c r="S275" s="159"/>
      <c r="T275" s="7" t="s">
        <v>287</v>
      </c>
      <c r="U275" s="7"/>
      <c r="V275" s="7"/>
      <c r="W275" s="7"/>
      <c r="X275" s="227"/>
      <c r="Y275" s="159"/>
      <c r="Z275" s="7" t="s">
        <v>287</v>
      </c>
      <c r="AA275" s="7"/>
      <c r="AB275" s="7"/>
      <c r="AC275" s="7"/>
      <c r="AD275" s="227"/>
    </row>
    <row r="276" spans="1:30" ht="12.75" hidden="1">
      <c r="A276" s="226" t="s">
        <v>10</v>
      </c>
      <c r="B276" s="218">
        <f>AG17</f>
        <v>0</v>
      </c>
      <c r="C276" s="218"/>
      <c r="D276" s="218"/>
      <c r="E276" s="218"/>
      <c r="F276" s="232" t="str">
        <f>LOOKUP(A17,squad!$B$18:$B$59,squad!$G$18:$G$59)</f>
        <v> </v>
      </c>
      <c r="G276" s="226" t="s">
        <v>10</v>
      </c>
      <c r="H276" s="218">
        <f>AH17</f>
        <v>0</v>
      </c>
      <c r="I276" s="218"/>
      <c r="J276" s="218"/>
      <c r="K276" s="218"/>
      <c r="L276" s="232" t="str">
        <f>LOOKUP(G17,squad!$B$18:$B$59,squad!$G$18:$G$59)</f>
        <v> </v>
      </c>
      <c r="M276" s="226" t="s">
        <v>10</v>
      </c>
      <c r="N276" s="218">
        <f>AI17</f>
        <v>0</v>
      </c>
      <c r="O276" s="218"/>
      <c r="P276" s="218"/>
      <c r="Q276" s="218"/>
      <c r="R276" s="232" t="str">
        <f>LOOKUP(M17,squad!$B$18:$B$59,squad!$G$18:$G$59)</f>
        <v> </v>
      </c>
      <c r="S276" s="226" t="s">
        <v>10</v>
      </c>
      <c r="T276" s="218">
        <f>AJ17</f>
        <v>0</v>
      </c>
      <c r="U276" s="218"/>
      <c r="V276" s="218"/>
      <c r="W276" s="218"/>
      <c r="X276" s="232" t="str">
        <f>LOOKUP(S17,squad!$B$18:$B$59,squad!$G$18:$G$59)</f>
        <v> </v>
      </c>
      <c r="Y276" s="226" t="s">
        <v>10</v>
      </c>
      <c r="Z276" s="218">
        <f>AK17</f>
        <v>0</v>
      </c>
      <c r="AA276" s="218"/>
      <c r="AB276" s="218"/>
      <c r="AC276" s="218"/>
      <c r="AD276" s="232" t="str">
        <f>LOOKUP(Y17,squad!$B$18:$B$59,squad!$G$18:$G$59)</f>
        <v> </v>
      </c>
    </row>
    <row r="277" spans="1:30" ht="13.5" hidden="1" thickBot="1">
      <c r="A277" s="25" t="s">
        <v>11</v>
      </c>
      <c r="B277" s="1">
        <f aca="true" t="shared" si="100" ref="B277:B295">AG18</f>
        <v>0</v>
      </c>
      <c r="C277" s="1"/>
      <c r="D277" s="1"/>
      <c r="E277" s="1"/>
      <c r="F277" s="230" t="str">
        <f>LOOKUP(A18,squad!$B$18:$B$59,squad!$G$18:$G$59)</f>
        <v> </v>
      </c>
      <c r="G277" s="221" t="s">
        <v>11</v>
      </c>
      <c r="H277" s="26">
        <f aca="true" t="shared" si="101" ref="H277:H295">AH18</f>
        <v>0</v>
      </c>
      <c r="I277" s="26"/>
      <c r="J277" s="26"/>
      <c r="K277" s="26"/>
      <c r="L277" s="231" t="str">
        <f>LOOKUP(G18,squad!$B$18:$B$59,squad!$G$18:$G$59)</f>
        <v> </v>
      </c>
      <c r="M277" s="221" t="s">
        <v>11</v>
      </c>
      <c r="N277" s="26">
        <f aca="true" t="shared" si="102" ref="N277:N295">AI18</f>
        <v>0</v>
      </c>
      <c r="O277" s="26"/>
      <c r="P277" s="26"/>
      <c r="Q277" s="26"/>
      <c r="R277" s="231" t="str">
        <f>LOOKUP(M18,squad!$B$18:$B$59,squad!$G$18:$G$59)</f>
        <v> </v>
      </c>
      <c r="S277" s="221" t="s">
        <v>11</v>
      </c>
      <c r="T277" s="26">
        <f aca="true" t="shared" si="103" ref="T277:T295">AJ18</f>
        <v>0</v>
      </c>
      <c r="U277" s="26"/>
      <c r="V277" s="26"/>
      <c r="W277" s="26"/>
      <c r="X277" s="231" t="str">
        <f>LOOKUP(S18,squad!$B$18:$B$59,squad!$G$18:$G$59)</f>
        <v> </v>
      </c>
      <c r="Y277" s="221" t="s">
        <v>11</v>
      </c>
      <c r="Z277" s="26">
        <f aca="true" t="shared" si="104" ref="Z277:Z295">AK18</f>
        <v>0</v>
      </c>
      <c r="AA277" s="26"/>
      <c r="AB277" s="26"/>
      <c r="AC277" s="26"/>
      <c r="AD277" s="231" t="str">
        <f>LOOKUP(Y18,squad!$B$18:$B$59,squad!$G$18:$G$59)</f>
        <v> </v>
      </c>
    </row>
    <row r="278" spans="1:30" ht="12.75" hidden="1">
      <c r="A278" s="226" t="s">
        <v>12</v>
      </c>
      <c r="B278" s="218">
        <f t="shared" si="100"/>
        <v>0</v>
      </c>
      <c r="C278" s="218">
        <f>IF(E11="H",IF(B278="DLM",INT(F19/2),0),)</f>
        <v>0</v>
      </c>
      <c r="D278" s="218"/>
      <c r="E278" s="218"/>
      <c r="F278" s="232" t="str">
        <f>LOOKUP(A19,squad!$B$18:$B$59,squad!$G$18:$G$59)</f>
        <v> </v>
      </c>
      <c r="G278" s="226" t="s">
        <v>12</v>
      </c>
      <c r="H278" s="218">
        <f t="shared" si="101"/>
        <v>0</v>
      </c>
      <c r="I278" s="218">
        <f aca="true" t="shared" si="105" ref="I278:I283">IF($K$11="H",IF(H278="DLM",INT(L19/2),0),0)</f>
        <v>0</v>
      </c>
      <c r="J278" s="218"/>
      <c r="K278" s="218"/>
      <c r="L278" s="232" t="str">
        <f>LOOKUP(G19,squad!$B$18:$B$59,squad!$G$18:$G$59)</f>
        <v> </v>
      </c>
      <c r="M278" s="226" t="s">
        <v>12</v>
      </c>
      <c r="N278" s="218">
        <f t="shared" si="102"/>
        <v>0</v>
      </c>
      <c r="O278" s="218">
        <f aca="true" t="shared" si="106" ref="O278:O283">IF($Q$11="H",IF(N278="DLM",INT(R19/2),0),0)</f>
        <v>0</v>
      </c>
      <c r="P278" s="218"/>
      <c r="Q278" s="218"/>
      <c r="R278" s="232" t="str">
        <f>LOOKUP(M19,squad!$B$18:$B$59,squad!$G$18:$G$59)</f>
        <v> </v>
      </c>
      <c r="S278" s="226" t="s">
        <v>12</v>
      </c>
      <c r="T278" s="218">
        <f t="shared" si="103"/>
        <v>0</v>
      </c>
      <c r="U278" s="218">
        <f aca="true" t="shared" si="107" ref="U278:U283">IF($W$11="H",IF(T278="DLM",INT(X19/2),0),0)</f>
        <v>0</v>
      </c>
      <c r="V278" s="218"/>
      <c r="W278" s="218"/>
      <c r="X278" s="232" t="str">
        <f>LOOKUP(S19,squad!$B$18:$B$59,squad!$G$18:$G$59)</f>
        <v> </v>
      </c>
      <c r="Y278" s="226" t="s">
        <v>12</v>
      </c>
      <c r="Z278" s="218">
        <f t="shared" si="104"/>
        <v>0</v>
      </c>
      <c r="AA278" s="218">
        <f aca="true" t="shared" si="108" ref="AA278:AA283">IF($AC$11="H",IF(Z278="DLM",INT(AD19/2),0),0)</f>
        <v>0</v>
      </c>
      <c r="AB278" s="218"/>
      <c r="AC278" s="218"/>
      <c r="AD278" s="232" t="str">
        <f>LOOKUP(Y19,squad!$B$18:$B$59,squad!$G$18:$G$59)</f>
        <v> </v>
      </c>
    </row>
    <row r="279" spans="1:30" ht="12.75" hidden="1">
      <c r="A279" s="25" t="s">
        <v>12</v>
      </c>
      <c r="B279" s="1">
        <f t="shared" si="100"/>
        <v>0</v>
      </c>
      <c r="C279" s="1">
        <f>IF(E11="H",IF(B279="DLM",INT(F20/2),0),)</f>
        <v>0</v>
      </c>
      <c r="D279" s="1"/>
      <c r="E279" s="1"/>
      <c r="F279" s="230" t="str">
        <f>LOOKUP(A20,squad!$B$18:$B$59,squad!$G$18:$G$59)</f>
        <v> </v>
      </c>
      <c r="G279" s="25" t="s">
        <v>12</v>
      </c>
      <c r="H279" s="1">
        <f t="shared" si="101"/>
        <v>0</v>
      </c>
      <c r="I279" s="1">
        <f t="shared" si="105"/>
        <v>0</v>
      </c>
      <c r="J279" s="1"/>
      <c r="K279" s="1"/>
      <c r="L279" s="230" t="str">
        <f>LOOKUP(G20,squad!$B$18:$B$59,squad!$G$18:$G$59)</f>
        <v> </v>
      </c>
      <c r="M279" s="25" t="s">
        <v>12</v>
      </c>
      <c r="N279" s="1">
        <f t="shared" si="102"/>
        <v>0</v>
      </c>
      <c r="O279" s="1">
        <f t="shared" si="106"/>
        <v>0</v>
      </c>
      <c r="P279" s="1"/>
      <c r="Q279" s="1"/>
      <c r="R279" s="230" t="str">
        <f>LOOKUP(M20,squad!$B$18:$B$59,squad!$G$18:$G$59)</f>
        <v> </v>
      </c>
      <c r="S279" s="25" t="s">
        <v>12</v>
      </c>
      <c r="T279" s="1">
        <f t="shared" si="103"/>
        <v>0</v>
      </c>
      <c r="U279" s="1">
        <f t="shared" si="107"/>
        <v>0</v>
      </c>
      <c r="V279" s="1"/>
      <c r="W279" s="1"/>
      <c r="X279" s="230" t="str">
        <f>LOOKUP(S20,squad!$B$18:$B$59,squad!$G$18:$G$59)</f>
        <v> </v>
      </c>
      <c r="Y279" s="25" t="s">
        <v>12</v>
      </c>
      <c r="Z279" s="1">
        <f t="shared" si="104"/>
        <v>0</v>
      </c>
      <c r="AA279" s="1">
        <f t="shared" si="108"/>
        <v>0</v>
      </c>
      <c r="AB279" s="1"/>
      <c r="AC279" s="1"/>
      <c r="AD279" s="230" t="str">
        <f>LOOKUP(Y20,squad!$B$18:$B$59,squad!$G$18:$G$59)</f>
        <v> </v>
      </c>
    </row>
    <row r="280" spans="1:30" ht="12.75" hidden="1">
      <c r="A280" s="25" t="s">
        <v>12</v>
      </c>
      <c r="B280" s="1">
        <f t="shared" si="100"/>
        <v>0</v>
      </c>
      <c r="C280" s="1">
        <f>IF(E11="H",IF(B280="DLM",INT(F21/2),0),)</f>
        <v>0</v>
      </c>
      <c r="D280" s="1"/>
      <c r="E280" s="1"/>
      <c r="F280" s="230" t="str">
        <f>LOOKUP(A21,squad!$B$18:$B$59,squad!$G$18:$G$59)</f>
        <v> </v>
      </c>
      <c r="G280" s="25" t="s">
        <v>12</v>
      </c>
      <c r="H280" s="1">
        <f t="shared" si="101"/>
        <v>0</v>
      </c>
      <c r="I280" s="1">
        <f t="shared" si="105"/>
        <v>0</v>
      </c>
      <c r="J280" s="1"/>
      <c r="K280" s="1"/>
      <c r="L280" s="230" t="str">
        <f>LOOKUP(G21,squad!$B$18:$B$59,squad!$G$18:$G$59)</f>
        <v> </v>
      </c>
      <c r="M280" s="25" t="s">
        <v>12</v>
      </c>
      <c r="N280" s="1">
        <f t="shared" si="102"/>
        <v>0</v>
      </c>
      <c r="O280" s="1">
        <f t="shared" si="106"/>
        <v>0</v>
      </c>
      <c r="P280" s="1"/>
      <c r="Q280" s="1"/>
      <c r="R280" s="230" t="str">
        <f>LOOKUP(M21,squad!$B$18:$B$59,squad!$G$18:$G$59)</f>
        <v> </v>
      </c>
      <c r="S280" s="25" t="s">
        <v>12</v>
      </c>
      <c r="T280" s="1">
        <f t="shared" si="103"/>
        <v>0</v>
      </c>
      <c r="U280" s="1">
        <f t="shared" si="107"/>
        <v>0</v>
      </c>
      <c r="V280" s="1"/>
      <c r="W280" s="1"/>
      <c r="X280" s="230" t="str">
        <f>LOOKUP(S21,squad!$B$18:$B$59,squad!$G$18:$G$59)</f>
        <v> </v>
      </c>
      <c r="Y280" s="25" t="s">
        <v>12</v>
      </c>
      <c r="Z280" s="1">
        <f t="shared" si="104"/>
        <v>0</v>
      </c>
      <c r="AA280" s="1">
        <f t="shared" si="108"/>
        <v>0</v>
      </c>
      <c r="AB280" s="1"/>
      <c r="AC280" s="1"/>
      <c r="AD280" s="230" t="str">
        <f>LOOKUP(Y21,squad!$B$18:$B$59,squad!$G$18:$G$59)</f>
        <v> </v>
      </c>
    </row>
    <row r="281" spans="1:30" ht="12.75" hidden="1">
      <c r="A281" s="25" t="s">
        <v>12</v>
      </c>
      <c r="B281" s="1">
        <f t="shared" si="100"/>
        <v>0</v>
      </c>
      <c r="C281" s="1">
        <f>IF(E11="H",IF(B281="DLM",INT(F22/2),0),)</f>
        <v>0</v>
      </c>
      <c r="D281" s="1"/>
      <c r="E281" s="1"/>
      <c r="F281" s="230" t="str">
        <f>LOOKUP(A22,squad!$B$18:$B$59,squad!$G$18:$G$59)</f>
        <v> </v>
      </c>
      <c r="G281" s="25" t="s">
        <v>12</v>
      </c>
      <c r="H281" s="1">
        <f t="shared" si="101"/>
        <v>0</v>
      </c>
      <c r="I281" s="1">
        <f t="shared" si="105"/>
        <v>0</v>
      </c>
      <c r="J281" s="1"/>
      <c r="K281" s="1"/>
      <c r="L281" s="230" t="str">
        <f>LOOKUP(G22,squad!$B$18:$B$59,squad!$G$18:$G$59)</f>
        <v> </v>
      </c>
      <c r="M281" s="25" t="s">
        <v>12</v>
      </c>
      <c r="N281" s="1">
        <f t="shared" si="102"/>
        <v>0</v>
      </c>
      <c r="O281" s="1">
        <f t="shared" si="106"/>
        <v>0</v>
      </c>
      <c r="P281" s="1"/>
      <c r="Q281" s="1"/>
      <c r="R281" s="230" t="str">
        <f>LOOKUP(M22,squad!$B$18:$B$59,squad!$G$18:$G$59)</f>
        <v> </v>
      </c>
      <c r="S281" s="25" t="s">
        <v>12</v>
      </c>
      <c r="T281" s="1">
        <f t="shared" si="103"/>
        <v>0</v>
      </c>
      <c r="U281" s="1">
        <f t="shared" si="107"/>
        <v>0</v>
      </c>
      <c r="V281" s="1"/>
      <c r="W281" s="1"/>
      <c r="X281" s="230" t="str">
        <f>LOOKUP(S22,squad!$B$18:$B$59,squad!$G$18:$G$59)</f>
        <v> </v>
      </c>
      <c r="Y281" s="25" t="s">
        <v>12</v>
      </c>
      <c r="Z281" s="1">
        <f t="shared" si="104"/>
        <v>0</v>
      </c>
      <c r="AA281" s="1">
        <f t="shared" si="108"/>
        <v>0</v>
      </c>
      <c r="AB281" s="1"/>
      <c r="AC281" s="1"/>
      <c r="AD281" s="230" t="str">
        <f>LOOKUP(Y22,squad!$B$18:$B$59,squad!$G$18:$G$59)</f>
        <v> </v>
      </c>
    </row>
    <row r="282" spans="1:30" ht="12.75" hidden="1">
      <c r="A282" s="25" t="s">
        <v>12</v>
      </c>
      <c r="B282" s="1">
        <f t="shared" si="100"/>
        <v>0</v>
      </c>
      <c r="C282" s="1">
        <f>IF(E11="H",IF(B282="DLM",INT(F23/2),0),)</f>
        <v>0</v>
      </c>
      <c r="D282" s="1"/>
      <c r="E282" s="1"/>
      <c r="F282" s="230" t="str">
        <f>LOOKUP(A23,squad!$B$18:$B$59,squad!$G$18:$G$59)</f>
        <v> </v>
      </c>
      <c r="G282" s="25" t="s">
        <v>12</v>
      </c>
      <c r="H282" s="1">
        <f t="shared" si="101"/>
        <v>0</v>
      </c>
      <c r="I282" s="1">
        <f t="shared" si="105"/>
        <v>0</v>
      </c>
      <c r="J282" s="1"/>
      <c r="K282" s="1"/>
      <c r="L282" s="230" t="str">
        <f>LOOKUP(G23,squad!$B$18:$B$59,squad!$G$18:$G$59)</f>
        <v> </v>
      </c>
      <c r="M282" s="25" t="s">
        <v>12</v>
      </c>
      <c r="N282" s="1">
        <f t="shared" si="102"/>
        <v>0</v>
      </c>
      <c r="O282" s="1">
        <f t="shared" si="106"/>
        <v>0</v>
      </c>
      <c r="P282" s="1"/>
      <c r="Q282" s="1"/>
      <c r="R282" s="230" t="str">
        <f>LOOKUP(M23,squad!$B$18:$B$59,squad!$G$18:$G$59)</f>
        <v> </v>
      </c>
      <c r="S282" s="25" t="s">
        <v>12</v>
      </c>
      <c r="T282" s="1">
        <f t="shared" si="103"/>
        <v>0</v>
      </c>
      <c r="U282" s="1">
        <f t="shared" si="107"/>
        <v>0</v>
      </c>
      <c r="V282" s="1"/>
      <c r="W282" s="1"/>
      <c r="X282" s="230" t="str">
        <f>LOOKUP(S23,squad!$B$18:$B$59,squad!$G$18:$G$59)</f>
        <v> </v>
      </c>
      <c r="Y282" s="25" t="s">
        <v>12</v>
      </c>
      <c r="Z282" s="1">
        <f t="shared" si="104"/>
        <v>0</v>
      </c>
      <c r="AA282" s="1">
        <f t="shared" si="108"/>
        <v>0</v>
      </c>
      <c r="AB282" s="1"/>
      <c r="AC282" s="1"/>
      <c r="AD282" s="230" t="str">
        <f>LOOKUP(Y23,squad!$B$18:$B$59,squad!$G$18:$G$59)</f>
        <v> </v>
      </c>
    </row>
    <row r="283" spans="1:30" ht="13.5" hidden="1" thickBot="1">
      <c r="A283" s="221" t="s">
        <v>12</v>
      </c>
      <c r="B283" s="26">
        <f t="shared" si="100"/>
        <v>0</v>
      </c>
      <c r="C283" s="26">
        <f>IF(E11="H",IF(B283="DLM",INT(F24/2),0),)</f>
        <v>0</v>
      </c>
      <c r="D283" s="26"/>
      <c r="E283" s="26"/>
      <c r="F283" s="231" t="str">
        <f>LOOKUP(A24,squad!$B$18:$B$59,squad!$G$18:$G$59)</f>
        <v> </v>
      </c>
      <c r="G283" s="221" t="s">
        <v>12</v>
      </c>
      <c r="H283" s="26">
        <f t="shared" si="101"/>
        <v>0</v>
      </c>
      <c r="I283" s="26">
        <f t="shared" si="105"/>
        <v>0</v>
      </c>
      <c r="J283" s="26"/>
      <c r="K283" s="26"/>
      <c r="L283" s="231" t="str">
        <f>LOOKUP(G24,squad!$B$18:$B$59,squad!$G$18:$G$59)</f>
        <v> </v>
      </c>
      <c r="M283" s="221" t="s">
        <v>12</v>
      </c>
      <c r="N283" s="26">
        <f t="shared" si="102"/>
        <v>0</v>
      </c>
      <c r="O283" s="26">
        <f t="shared" si="106"/>
        <v>0</v>
      </c>
      <c r="P283" s="26"/>
      <c r="Q283" s="26"/>
      <c r="R283" s="231" t="str">
        <f>LOOKUP(M24,squad!$B$18:$B$59,squad!$G$18:$G$59)</f>
        <v> </v>
      </c>
      <c r="S283" s="221" t="s">
        <v>12</v>
      </c>
      <c r="T283" s="26">
        <f t="shared" si="103"/>
        <v>0</v>
      </c>
      <c r="U283" s="26">
        <f t="shared" si="107"/>
        <v>0</v>
      </c>
      <c r="V283" s="26"/>
      <c r="W283" s="26"/>
      <c r="X283" s="231" t="str">
        <f>LOOKUP(S24,squad!$B$18:$B$59,squad!$G$18:$G$59)</f>
        <v> </v>
      </c>
      <c r="Y283" s="221" t="s">
        <v>12</v>
      </c>
      <c r="Z283" s="26">
        <f t="shared" si="104"/>
        <v>0</v>
      </c>
      <c r="AA283" s="26">
        <f t="shared" si="108"/>
        <v>0</v>
      </c>
      <c r="AB283" s="26"/>
      <c r="AC283" s="26"/>
      <c r="AD283" s="231" t="str">
        <f>LOOKUP(Y24,squad!$B$18:$B$59,squad!$G$18:$G$59)</f>
        <v> </v>
      </c>
    </row>
    <row r="284" spans="1:30" ht="12.75" hidden="1">
      <c r="A284" s="25" t="s">
        <v>13</v>
      </c>
      <c r="B284" s="1">
        <f t="shared" si="100"/>
        <v>0</v>
      </c>
      <c r="C284" s="1"/>
      <c r="D284" s="1"/>
      <c r="E284" s="1"/>
      <c r="F284" s="230" t="str">
        <f>LOOKUP(A25,squad!$B$18:$B$59,squad!$G$18:$G$59)</f>
        <v> </v>
      </c>
      <c r="G284" s="25" t="s">
        <v>13</v>
      </c>
      <c r="H284" s="1">
        <f t="shared" si="101"/>
        <v>0</v>
      </c>
      <c r="I284" s="1"/>
      <c r="J284" s="1"/>
      <c r="K284" s="1"/>
      <c r="L284" s="230" t="str">
        <f>LOOKUP(G25,squad!$B$18:$B$59,squad!$G$18:$G$59)</f>
        <v> </v>
      </c>
      <c r="M284" s="25" t="s">
        <v>13</v>
      </c>
      <c r="N284" s="1">
        <f t="shared" si="102"/>
        <v>0</v>
      </c>
      <c r="O284" s="1"/>
      <c r="P284" s="1"/>
      <c r="Q284" s="1"/>
      <c r="R284" s="230" t="str">
        <f>LOOKUP(M25,squad!$B$18:$B$59,squad!$G$18:$G$59)</f>
        <v> </v>
      </c>
      <c r="S284" s="25" t="s">
        <v>13</v>
      </c>
      <c r="T284" s="1">
        <f t="shared" si="103"/>
        <v>0</v>
      </c>
      <c r="U284" s="1"/>
      <c r="V284" s="1"/>
      <c r="W284" s="1"/>
      <c r="X284" s="230" t="str">
        <f>LOOKUP(S25,squad!$B$18:$B$59,squad!$G$18:$G$59)</f>
        <v> </v>
      </c>
      <c r="Y284" s="25" t="s">
        <v>13</v>
      </c>
      <c r="Z284" s="1">
        <f t="shared" si="104"/>
        <v>0</v>
      </c>
      <c r="AA284" s="1"/>
      <c r="AB284" s="1"/>
      <c r="AC284" s="1"/>
      <c r="AD284" s="230" t="str">
        <f>LOOKUP(Y25,squad!$B$18:$B$59,squad!$G$18:$G$59)</f>
        <v> </v>
      </c>
    </row>
    <row r="285" spans="1:30" ht="12.75" hidden="1">
      <c r="A285" s="25" t="s">
        <v>13</v>
      </c>
      <c r="B285" s="1">
        <f t="shared" si="100"/>
        <v>0</v>
      </c>
      <c r="C285" s="1"/>
      <c r="D285" s="1"/>
      <c r="E285" s="1"/>
      <c r="F285" s="230" t="str">
        <f>LOOKUP(A26,squad!$B$18:$B$59,squad!$G$18:$G$59)</f>
        <v> </v>
      </c>
      <c r="G285" s="25" t="s">
        <v>13</v>
      </c>
      <c r="H285" s="1">
        <f t="shared" si="101"/>
        <v>0</v>
      </c>
      <c r="I285" s="1"/>
      <c r="J285" s="1"/>
      <c r="K285" s="1"/>
      <c r="L285" s="230" t="str">
        <f>LOOKUP(G26,squad!$B$18:$B$59,squad!$G$18:$G$59)</f>
        <v> </v>
      </c>
      <c r="M285" s="25" t="s">
        <v>13</v>
      </c>
      <c r="N285" s="1">
        <f t="shared" si="102"/>
        <v>0</v>
      </c>
      <c r="O285" s="1"/>
      <c r="P285" s="1"/>
      <c r="Q285" s="1"/>
      <c r="R285" s="230" t="str">
        <f>LOOKUP(M26,squad!$B$18:$B$59,squad!$G$18:$G$59)</f>
        <v> </v>
      </c>
      <c r="S285" s="25" t="s">
        <v>13</v>
      </c>
      <c r="T285" s="1">
        <f t="shared" si="103"/>
        <v>0</v>
      </c>
      <c r="U285" s="1"/>
      <c r="V285" s="1"/>
      <c r="W285" s="1"/>
      <c r="X285" s="230" t="str">
        <f>LOOKUP(S26,squad!$B$18:$B$59,squad!$G$18:$G$59)</f>
        <v> </v>
      </c>
      <c r="Y285" s="25" t="s">
        <v>13</v>
      </c>
      <c r="Z285" s="1">
        <f t="shared" si="104"/>
        <v>0</v>
      </c>
      <c r="AA285" s="1"/>
      <c r="AB285" s="1"/>
      <c r="AC285" s="1"/>
      <c r="AD285" s="230" t="str">
        <f>LOOKUP(Y26,squad!$B$18:$B$59,squad!$G$18:$G$59)</f>
        <v> </v>
      </c>
    </row>
    <row r="286" spans="1:30" ht="12.75" hidden="1">
      <c r="A286" s="25" t="s">
        <v>13</v>
      </c>
      <c r="B286" s="1">
        <f t="shared" si="100"/>
        <v>0</v>
      </c>
      <c r="C286" s="1"/>
      <c r="D286" s="1"/>
      <c r="E286" s="1"/>
      <c r="F286" s="230" t="str">
        <f>LOOKUP(A27,squad!$B$18:$B$59,squad!$G$18:$G$59)</f>
        <v> </v>
      </c>
      <c r="G286" s="25" t="s">
        <v>13</v>
      </c>
      <c r="H286" s="1">
        <f t="shared" si="101"/>
        <v>0</v>
      </c>
      <c r="I286" s="1"/>
      <c r="J286" s="1"/>
      <c r="K286" s="1"/>
      <c r="L286" s="230" t="str">
        <f>LOOKUP(G27,squad!$B$18:$B$59,squad!$G$18:$G$59)</f>
        <v> </v>
      </c>
      <c r="M286" s="25" t="s">
        <v>13</v>
      </c>
      <c r="N286" s="1">
        <f t="shared" si="102"/>
        <v>0</v>
      </c>
      <c r="O286" s="1"/>
      <c r="P286" s="1"/>
      <c r="Q286" s="1"/>
      <c r="R286" s="230" t="str">
        <f>LOOKUP(M27,squad!$B$18:$B$59,squad!$G$18:$G$59)</f>
        <v> </v>
      </c>
      <c r="S286" s="25" t="s">
        <v>13</v>
      </c>
      <c r="T286" s="1">
        <f t="shared" si="103"/>
        <v>0</v>
      </c>
      <c r="U286" s="1"/>
      <c r="V286" s="1"/>
      <c r="W286" s="1"/>
      <c r="X286" s="230" t="str">
        <f>LOOKUP(S27,squad!$B$18:$B$59,squad!$G$18:$G$59)</f>
        <v> </v>
      </c>
      <c r="Y286" s="25" t="s">
        <v>13</v>
      </c>
      <c r="Z286" s="1">
        <f t="shared" si="104"/>
        <v>0</v>
      </c>
      <c r="AA286" s="1"/>
      <c r="AB286" s="1"/>
      <c r="AC286" s="1"/>
      <c r="AD286" s="230" t="str">
        <f>LOOKUP(Y27,squad!$B$18:$B$59,squad!$G$18:$G$59)</f>
        <v> </v>
      </c>
    </row>
    <row r="287" spans="1:30" ht="12.75" hidden="1">
      <c r="A287" s="25" t="s">
        <v>13</v>
      </c>
      <c r="B287" s="1">
        <f t="shared" si="100"/>
        <v>0</v>
      </c>
      <c r="C287" s="1"/>
      <c r="D287" s="1"/>
      <c r="E287" s="1"/>
      <c r="F287" s="230" t="str">
        <f>LOOKUP(A28,squad!$B$18:$B$59,squad!$G$18:$G$59)</f>
        <v> </v>
      </c>
      <c r="G287" s="25" t="s">
        <v>13</v>
      </c>
      <c r="H287" s="1">
        <f t="shared" si="101"/>
        <v>0</v>
      </c>
      <c r="I287" s="1"/>
      <c r="J287" s="1"/>
      <c r="K287" s="1"/>
      <c r="L287" s="230" t="str">
        <f>LOOKUP(G28,squad!$B$18:$B$59,squad!$G$18:$G$59)</f>
        <v> </v>
      </c>
      <c r="M287" s="25" t="s">
        <v>13</v>
      </c>
      <c r="N287" s="1">
        <f t="shared" si="102"/>
        <v>0</v>
      </c>
      <c r="O287" s="1"/>
      <c r="P287" s="1"/>
      <c r="Q287" s="1"/>
      <c r="R287" s="230" t="str">
        <f>LOOKUP(M28,squad!$B$18:$B$59,squad!$G$18:$G$59)</f>
        <v> </v>
      </c>
      <c r="S287" s="25" t="s">
        <v>13</v>
      </c>
      <c r="T287" s="1">
        <f t="shared" si="103"/>
        <v>0</v>
      </c>
      <c r="U287" s="1"/>
      <c r="V287" s="1"/>
      <c r="W287" s="1"/>
      <c r="X287" s="230" t="str">
        <f>LOOKUP(S28,squad!$B$18:$B$59,squad!$G$18:$G$59)</f>
        <v> </v>
      </c>
      <c r="Y287" s="25" t="s">
        <v>13</v>
      </c>
      <c r="Z287" s="1">
        <f t="shared" si="104"/>
        <v>0</v>
      </c>
      <c r="AA287" s="1"/>
      <c r="AB287" s="1"/>
      <c r="AC287" s="1"/>
      <c r="AD287" s="230" t="str">
        <f>LOOKUP(Y28,squad!$B$18:$B$59,squad!$G$18:$G$59)</f>
        <v> </v>
      </c>
    </row>
    <row r="288" spans="1:30" ht="12.75" hidden="1">
      <c r="A288" s="25" t="s">
        <v>13</v>
      </c>
      <c r="B288" s="1">
        <f t="shared" si="100"/>
        <v>0</v>
      </c>
      <c r="C288" s="1"/>
      <c r="D288" s="1"/>
      <c r="E288" s="1"/>
      <c r="F288" s="230" t="str">
        <f>LOOKUP(A29,squad!$B$18:$B$59,squad!$G$18:$G$59)</f>
        <v> </v>
      </c>
      <c r="G288" s="25" t="s">
        <v>13</v>
      </c>
      <c r="H288" s="1">
        <f t="shared" si="101"/>
        <v>0</v>
      </c>
      <c r="I288" s="1"/>
      <c r="J288" s="1"/>
      <c r="K288" s="1"/>
      <c r="L288" s="230" t="str">
        <f>LOOKUP(G29,squad!$B$18:$B$59,squad!$G$18:$G$59)</f>
        <v> </v>
      </c>
      <c r="M288" s="25" t="s">
        <v>13</v>
      </c>
      <c r="N288" s="1">
        <f t="shared" si="102"/>
        <v>0</v>
      </c>
      <c r="O288" s="1"/>
      <c r="P288" s="1"/>
      <c r="Q288" s="1"/>
      <c r="R288" s="230" t="str">
        <f>LOOKUP(M29,squad!$B$18:$B$59,squad!$G$18:$G$59)</f>
        <v> </v>
      </c>
      <c r="S288" s="25" t="s">
        <v>13</v>
      </c>
      <c r="T288" s="1">
        <f t="shared" si="103"/>
        <v>0</v>
      </c>
      <c r="U288" s="1"/>
      <c r="V288" s="1"/>
      <c r="W288" s="1"/>
      <c r="X288" s="230" t="str">
        <f>LOOKUP(S29,squad!$B$18:$B$59,squad!$G$18:$G$59)</f>
        <v> </v>
      </c>
      <c r="Y288" s="25" t="s">
        <v>13</v>
      </c>
      <c r="Z288" s="1">
        <f t="shared" si="104"/>
        <v>0</v>
      </c>
      <c r="AA288" s="1"/>
      <c r="AB288" s="1"/>
      <c r="AC288" s="1"/>
      <c r="AD288" s="230" t="str">
        <f>LOOKUP(Y29,squad!$B$18:$B$59,squad!$G$18:$G$59)</f>
        <v> </v>
      </c>
    </row>
    <row r="289" spans="1:30" ht="13.5" hidden="1" thickBot="1">
      <c r="A289" s="25" t="s">
        <v>13</v>
      </c>
      <c r="B289" s="1">
        <f t="shared" si="100"/>
        <v>0</v>
      </c>
      <c r="C289" s="1"/>
      <c r="D289" s="1"/>
      <c r="E289" s="1"/>
      <c r="F289" s="230" t="str">
        <f>LOOKUP(A30,squad!$B$18:$B$59,squad!$G$18:$G$59)</f>
        <v> </v>
      </c>
      <c r="G289" s="25" t="s">
        <v>13</v>
      </c>
      <c r="H289" s="1">
        <f t="shared" si="101"/>
        <v>0</v>
      </c>
      <c r="I289" s="1"/>
      <c r="J289" s="1"/>
      <c r="K289" s="1"/>
      <c r="L289" s="230" t="str">
        <f>LOOKUP(G30,squad!$B$18:$B$59,squad!$G$18:$G$59)</f>
        <v> </v>
      </c>
      <c r="M289" s="25" t="s">
        <v>13</v>
      </c>
      <c r="N289" s="1">
        <f t="shared" si="102"/>
        <v>0</v>
      </c>
      <c r="O289" s="1"/>
      <c r="P289" s="1"/>
      <c r="Q289" s="1"/>
      <c r="R289" s="230" t="str">
        <f>LOOKUP(M30,squad!$B$18:$B$59,squad!$G$18:$G$59)</f>
        <v> </v>
      </c>
      <c r="S289" s="25" t="s">
        <v>13</v>
      </c>
      <c r="T289" s="1">
        <f t="shared" si="103"/>
        <v>0</v>
      </c>
      <c r="U289" s="1"/>
      <c r="V289" s="1"/>
      <c r="W289" s="1"/>
      <c r="X289" s="230" t="str">
        <f>LOOKUP(S30,squad!$B$18:$B$59,squad!$G$18:$G$59)</f>
        <v> </v>
      </c>
      <c r="Y289" s="25" t="s">
        <v>13</v>
      </c>
      <c r="Z289" s="1">
        <f t="shared" si="104"/>
        <v>0</v>
      </c>
      <c r="AA289" s="1"/>
      <c r="AB289" s="1"/>
      <c r="AC289" s="1"/>
      <c r="AD289" s="230" t="str">
        <f>LOOKUP(Y30,squad!$B$18:$B$59,squad!$G$18:$G$59)</f>
        <v> </v>
      </c>
    </row>
    <row r="290" spans="1:30" ht="12.75" hidden="1">
      <c r="A290" s="226" t="s">
        <v>14</v>
      </c>
      <c r="B290" s="218">
        <f t="shared" si="100"/>
        <v>0</v>
      </c>
      <c r="C290" s="218"/>
      <c r="D290" s="218"/>
      <c r="E290" s="218"/>
      <c r="F290" s="232" t="str">
        <f>LOOKUP(A31,squad!$B$18:$B$59,squad!$G$18:$G$59)</f>
        <v> </v>
      </c>
      <c r="G290" s="226" t="s">
        <v>14</v>
      </c>
      <c r="H290" s="218">
        <f t="shared" si="101"/>
        <v>0</v>
      </c>
      <c r="I290" s="218"/>
      <c r="J290" s="218"/>
      <c r="K290" s="218"/>
      <c r="L290" s="232" t="str">
        <f>LOOKUP(G31,squad!$B$18:$B$59,squad!$G$18:$G$59)</f>
        <v> </v>
      </c>
      <c r="M290" s="226" t="s">
        <v>14</v>
      </c>
      <c r="N290" s="218">
        <f t="shared" si="102"/>
        <v>0</v>
      </c>
      <c r="O290" s="218"/>
      <c r="P290" s="218"/>
      <c r="Q290" s="218"/>
      <c r="R290" s="232" t="str">
        <f>LOOKUP(M31,squad!$B$18:$B$59,squad!$G$18:$G$59)</f>
        <v> </v>
      </c>
      <c r="S290" s="226" t="s">
        <v>14</v>
      </c>
      <c r="T290" s="218">
        <f t="shared" si="103"/>
        <v>0</v>
      </c>
      <c r="U290" s="218"/>
      <c r="V290" s="218"/>
      <c r="W290" s="218"/>
      <c r="X290" s="232" t="str">
        <f>LOOKUP(S31,squad!$B$18:$B$59,squad!$G$18:$G$59)</f>
        <v> </v>
      </c>
      <c r="Y290" s="226" t="s">
        <v>14</v>
      </c>
      <c r="Z290" s="218">
        <f t="shared" si="104"/>
        <v>0</v>
      </c>
      <c r="AA290" s="218"/>
      <c r="AB290" s="218"/>
      <c r="AC290" s="218"/>
      <c r="AD290" s="232" t="str">
        <f>LOOKUP(Y31,squad!$B$18:$B$59,squad!$G$18:$G$59)</f>
        <v> </v>
      </c>
    </row>
    <row r="291" spans="1:30" ht="12.75" hidden="1">
      <c r="A291" s="25" t="s">
        <v>14</v>
      </c>
      <c r="B291" s="1">
        <f t="shared" si="100"/>
        <v>0</v>
      </c>
      <c r="C291" s="1"/>
      <c r="D291" s="1"/>
      <c r="E291" s="1"/>
      <c r="F291" s="230" t="str">
        <f>LOOKUP(A32,squad!$B$18:$B$59,squad!$G$18:$G$59)</f>
        <v> </v>
      </c>
      <c r="G291" s="25" t="s">
        <v>14</v>
      </c>
      <c r="H291" s="1">
        <f t="shared" si="101"/>
        <v>0</v>
      </c>
      <c r="I291" s="1"/>
      <c r="J291" s="1"/>
      <c r="K291" s="1"/>
      <c r="L291" s="230" t="str">
        <f>LOOKUP(G32,squad!$B$18:$B$59,squad!$G$18:$G$59)</f>
        <v> </v>
      </c>
      <c r="M291" s="25" t="s">
        <v>14</v>
      </c>
      <c r="N291" s="1">
        <f t="shared" si="102"/>
        <v>0</v>
      </c>
      <c r="O291" s="1"/>
      <c r="P291" s="1"/>
      <c r="Q291" s="1"/>
      <c r="R291" s="230" t="str">
        <f>LOOKUP(M32,squad!$B$18:$B$59,squad!$G$18:$G$59)</f>
        <v> </v>
      </c>
      <c r="S291" s="25" t="s">
        <v>14</v>
      </c>
      <c r="T291" s="1">
        <f t="shared" si="103"/>
        <v>0</v>
      </c>
      <c r="U291" s="1"/>
      <c r="V291" s="1"/>
      <c r="W291" s="1"/>
      <c r="X291" s="230" t="str">
        <f>LOOKUP(S32,squad!$B$18:$B$59,squad!$G$18:$G$59)</f>
        <v> </v>
      </c>
      <c r="Y291" s="25" t="s">
        <v>14</v>
      </c>
      <c r="Z291" s="1">
        <f t="shared" si="104"/>
        <v>0</v>
      </c>
      <c r="AA291" s="1"/>
      <c r="AB291" s="1"/>
      <c r="AC291" s="1"/>
      <c r="AD291" s="230" t="str">
        <f>LOOKUP(Y32,squad!$B$18:$B$59,squad!$G$18:$G$59)</f>
        <v> </v>
      </c>
    </row>
    <row r="292" spans="1:30" ht="12.75" hidden="1">
      <c r="A292" s="25" t="s">
        <v>14</v>
      </c>
      <c r="B292" s="1">
        <f t="shared" si="100"/>
        <v>0</v>
      </c>
      <c r="C292" s="1"/>
      <c r="D292" s="1"/>
      <c r="E292" s="1"/>
      <c r="F292" s="230" t="str">
        <f>LOOKUP(A33,squad!$B$18:$B$59,squad!$G$18:$G$59)</f>
        <v> </v>
      </c>
      <c r="G292" s="25" t="s">
        <v>14</v>
      </c>
      <c r="H292" s="1">
        <f t="shared" si="101"/>
        <v>0</v>
      </c>
      <c r="I292" s="1"/>
      <c r="J292" s="1"/>
      <c r="K292" s="1"/>
      <c r="L292" s="230" t="str">
        <f>LOOKUP(G33,squad!$B$18:$B$59,squad!$G$18:$G$59)</f>
        <v> </v>
      </c>
      <c r="M292" s="25" t="s">
        <v>14</v>
      </c>
      <c r="N292" s="1">
        <f t="shared" si="102"/>
        <v>0</v>
      </c>
      <c r="O292" s="1"/>
      <c r="P292" s="1"/>
      <c r="Q292" s="1"/>
      <c r="R292" s="230" t="str">
        <f>LOOKUP(M33,squad!$B$18:$B$59,squad!$G$18:$G$59)</f>
        <v> </v>
      </c>
      <c r="S292" s="25" t="s">
        <v>14</v>
      </c>
      <c r="T292" s="1">
        <f t="shared" si="103"/>
        <v>0</v>
      </c>
      <c r="U292" s="1"/>
      <c r="V292" s="1"/>
      <c r="W292" s="1"/>
      <c r="X292" s="230" t="str">
        <f>LOOKUP(S33,squad!$B$18:$B$59,squad!$G$18:$G$59)</f>
        <v> </v>
      </c>
      <c r="Y292" s="25" t="s">
        <v>14</v>
      </c>
      <c r="Z292" s="1">
        <f t="shared" si="104"/>
        <v>0</v>
      </c>
      <c r="AA292" s="1"/>
      <c r="AB292" s="1"/>
      <c r="AC292" s="1"/>
      <c r="AD292" s="230" t="str">
        <f>LOOKUP(Y33,squad!$B$18:$B$59,squad!$G$18:$G$59)</f>
        <v> </v>
      </c>
    </row>
    <row r="293" spans="1:30" ht="12.75" hidden="1">
      <c r="A293" s="25" t="s">
        <v>14</v>
      </c>
      <c r="B293" s="1">
        <f t="shared" si="100"/>
        <v>0</v>
      </c>
      <c r="C293" s="1"/>
      <c r="D293" s="1"/>
      <c r="E293" s="1"/>
      <c r="F293" s="230" t="str">
        <f>LOOKUP(A34,squad!$B$18:$B$59,squad!$G$18:$G$59)</f>
        <v> </v>
      </c>
      <c r="G293" s="25" t="s">
        <v>14</v>
      </c>
      <c r="H293" s="1">
        <f t="shared" si="101"/>
        <v>0</v>
      </c>
      <c r="I293" s="1"/>
      <c r="J293" s="1"/>
      <c r="K293" s="1"/>
      <c r="L293" s="230" t="str">
        <f>LOOKUP(G34,squad!$B$18:$B$59,squad!$G$18:$G$59)</f>
        <v> </v>
      </c>
      <c r="M293" s="25" t="s">
        <v>14</v>
      </c>
      <c r="N293" s="1">
        <f t="shared" si="102"/>
        <v>0</v>
      </c>
      <c r="O293" s="1"/>
      <c r="P293" s="1"/>
      <c r="Q293" s="1"/>
      <c r="R293" s="230" t="str">
        <f>LOOKUP(M34,squad!$B$18:$B$59,squad!$G$18:$G$59)</f>
        <v> </v>
      </c>
      <c r="S293" s="25" t="s">
        <v>14</v>
      </c>
      <c r="T293" s="1">
        <f t="shared" si="103"/>
        <v>0</v>
      </c>
      <c r="U293" s="1"/>
      <c r="V293" s="1"/>
      <c r="W293" s="1"/>
      <c r="X293" s="230" t="str">
        <f>LOOKUP(S34,squad!$B$18:$B$59,squad!$G$18:$G$59)</f>
        <v> </v>
      </c>
      <c r="Y293" s="25" t="s">
        <v>14</v>
      </c>
      <c r="Z293" s="1">
        <f t="shared" si="104"/>
        <v>0</v>
      </c>
      <c r="AA293" s="1"/>
      <c r="AB293" s="1"/>
      <c r="AC293" s="1"/>
      <c r="AD293" s="230" t="str">
        <f>LOOKUP(Y34,squad!$B$18:$B$59,squad!$G$18:$G$59)</f>
        <v> </v>
      </c>
    </row>
    <row r="294" spans="1:30" ht="12.75" hidden="1">
      <c r="A294" s="25" t="s">
        <v>14</v>
      </c>
      <c r="B294" s="1">
        <f t="shared" si="100"/>
        <v>0</v>
      </c>
      <c r="C294" s="1"/>
      <c r="D294" s="1"/>
      <c r="E294" s="1"/>
      <c r="F294" s="230" t="str">
        <f>LOOKUP(A35,squad!$B$18:$B$59,squad!$G$18:$G$59)</f>
        <v> </v>
      </c>
      <c r="G294" s="25" t="s">
        <v>14</v>
      </c>
      <c r="H294" s="1">
        <f t="shared" si="101"/>
        <v>0</v>
      </c>
      <c r="I294" s="1"/>
      <c r="J294" s="1"/>
      <c r="K294" s="1"/>
      <c r="L294" s="230" t="str">
        <f>LOOKUP(G35,squad!$B$18:$B$59,squad!$G$18:$G$59)</f>
        <v> </v>
      </c>
      <c r="M294" s="25" t="s">
        <v>14</v>
      </c>
      <c r="N294" s="1">
        <f t="shared" si="102"/>
        <v>0</v>
      </c>
      <c r="O294" s="1"/>
      <c r="P294" s="1"/>
      <c r="Q294" s="1"/>
      <c r="R294" s="230" t="str">
        <f>LOOKUP(M35,squad!$B$18:$B$59,squad!$G$18:$G$59)</f>
        <v> </v>
      </c>
      <c r="S294" s="25" t="s">
        <v>14</v>
      </c>
      <c r="T294" s="1">
        <f t="shared" si="103"/>
        <v>0</v>
      </c>
      <c r="U294" s="1"/>
      <c r="V294" s="1"/>
      <c r="W294" s="1"/>
      <c r="X294" s="230" t="str">
        <f>LOOKUP(S35,squad!$B$18:$B$59,squad!$G$18:$G$59)</f>
        <v> </v>
      </c>
      <c r="Y294" s="25" t="s">
        <v>14</v>
      </c>
      <c r="Z294" s="1">
        <f t="shared" si="104"/>
        <v>0</v>
      </c>
      <c r="AA294" s="1"/>
      <c r="AB294" s="1"/>
      <c r="AC294" s="1"/>
      <c r="AD294" s="230" t="str">
        <f>LOOKUP(Y35,squad!$B$18:$B$59,squad!$G$18:$G$59)</f>
        <v> </v>
      </c>
    </row>
    <row r="295" spans="1:30" ht="13.5" hidden="1" thickBot="1">
      <c r="A295" s="221" t="s">
        <v>14</v>
      </c>
      <c r="B295" s="26">
        <f t="shared" si="100"/>
        <v>0</v>
      </c>
      <c r="C295" s="26"/>
      <c r="D295" s="26"/>
      <c r="E295" s="26"/>
      <c r="F295" s="231" t="str">
        <f>LOOKUP(A36,squad!$B$18:$B$59,squad!$G$18:$G$59)</f>
        <v> </v>
      </c>
      <c r="G295" s="221" t="s">
        <v>14</v>
      </c>
      <c r="H295" s="26">
        <f t="shared" si="101"/>
        <v>0</v>
      </c>
      <c r="I295" s="26"/>
      <c r="J295" s="26"/>
      <c r="K295" s="26"/>
      <c r="L295" s="231" t="str">
        <f>LOOKUP(G36,squad!$B$18:$B$59,squad!$G$18:$G$59)</f>
        <v> </v>
      </c>
      <c r="M295" s="221" t="s">
        <v>14</v>
      </c>
      <c r="N295" s="26">
        <f t="shared" si="102"/>
        <v>0</v>
      </c>
      <c r="O295" s="26"/>
      <c r="P295" s="26"/>
      <c r="Q295" s="26"/>
      <c r="R295" s="231" t="str">
        <f>LOOKUP(M36,squad!$B$18:$B$59,squad!$G$18:$G$59)</f>
        <v> </v>
      </c>
      <c r="S295" s="221" t="s">
        <v>14</v>
      </c>
      <c r="T295" s="26">
        <f t="shared" si="103"/>
        <v>0</v>
      </c>
      <c r="U295" s="26"/>
      <c r="V295" s="26"/>
      <c r="W295" s="26"/>
      <c r="X295" s="231" t="str">
        <f>LOOKUP(S36,squad!$B$18:$B$59,squad!$G$18:$G$59)</f>
        <v> </v>
      </c>
      <c r="Y295" s="221" t="s">
        <v>14</v>
      </c>
      <c r="Z295" s="26">
        <f t="shared" si="104"/>
        <v>0</v>
      </c>
      <c r="AA295" s="26"/>
      <c r="AB295" s="26"/>
      <c r="AC295" s="26"/>
      <c r="AD295" s="231" t="str">
        <f>LOOKUP(Y36,squad!$B$18:$B$59,squad!$G$18:$G$59)</f>
        <v> </v>
      </c>
    </row>
    <row r="296" spans="1:30" ht="12.75" hidden="1">
      <c r="A296" s="159" t="s">
        <v>291</v>
      </c>
      <c r="B296" s="7"/>
      <c r="C296" s="7"/>
      <c r="D296" s="7"/>
      <c r="E296" s="7"/>
      <c r="F296" s="227"/>
      <c r="G296" s="159" t="s">
        <v>291</v>
      </c>
      <c r="H296" s="7"/>
      <c r="I296" s="7"/>
      <c r="J296" s="7"/>
      <c r="K296" s="7"/>
      <c r="L296" s="227"/>
      <c r="M296" s="159" t="s">
        <v>291</v>
      </c>
      <c r="N296" s="7"/>
      <c r="O296" s="7"/>
      <c r="P296" s="7"/>
      <c r="Q296" s="7"/>
      <c r="R296" s="227"/>
      <c r="S296" s="159" t="s">
        <v>291</v>
      </c>
      <c r="T296" s="7"/>
      <c r="U296" s="7"/>
      <c r="V296" s="7"/>
      <c r="W296" s="7"/>
      <c r="X296" s="227"/>
      <c r="Y296" s="159" t="s">
        <v>291</v>
      </c>
      <c r="Z296" s="7"/>
      <c r="AA296" s="7"/>
      <c r="AB296" s="7"/>
      <c r="AC296" s="7"/>
      <c r="AD296" s="227"/>
    </row>
    <row r="297" spans="1:30" ht="13.5" hidden="1" thickBot="1">
      <c r="A297" s="160"/>
      <c r="B297" s="161" t="s">
        <v>287</v>
      </c>
      <c r="C297" s="161"/>
      <c r="D297" s="161"/>
      <c r="E297" s="161"/>
      <c r="F297" s="225"/>
      <c r="G297" s="160"/>
      <c r="H297" s="161" t="s">
        <v>287</v>
      </c>
      <c r="I297" s="161"/>
      <c r="J297" s="161"/>
      <c r="K297" s="161"/>
      <c r="L297" s="225"/>
      <c r="M297" s="160"/>
      <c r="N297" s="161" t="s">
        <v>287</v>
      </c>
      <c r="O297" s="161"/>
      <c r="P297" s="161"/>
      <c r="Q297" s="161"/>
      <c r="R297" s="225"/>
      <c r="S297" s="160"/>
      <c r="T297" s="161" t="s">
        <v>287</v>
      </c>
      <c r="U297" s="161"/>
      <c r="V297" s="161"/>
      <c r="W297" s="161"/>
      <c r="X297" s="225"/>
      <c r="Y297" s="160"/>
      <c r="Z297" s="161" t="s">
        <v>287</v>
      </c>
      <c r="AA297" s="161"/>
      <c r="AB297" s="161"/>
      <c r="AC297" s="161"/>
      <c r="AD297" s="225"/>
    </row>
    <row r="298" spans="1:30" ht="13.5" hidden="1" thickBot="1">
      <c r="A298" s="216" t="s">
        <v>10</v>
      </c>
      <c r="B298" s="217">
        <f>AG17</f>
        <v>0</v>
      </c>
      <c r="C298" s="217"/>
      <c r="D298" s="217"/>
      <c r="E298" s="217"/>
      <c r="F298" s="245" t="str">
        <f>LOOKUP(A17,squad!$B$18:$B$59,squad!$G$18:$G$59)</f>
        <v> </v>
      </c>
      <c r="G298" s="216" t="s">
        <v>10</v>
      </c>
      <c r="H298" s="217">
        <f>AH17</f>
        <v>0</v>
      </c>
      <c r="I298" s="217"/>
      <c r="J298" s="217"/>
      <c r="K298" s="217"/>
      <c r="L298" s="245" t="str">
        <f>LOOKUP(G17,squad!$B$18:$B$59,squad!$G$18:$G$59)</f>
        <v> </v>
      </c>
      <c r="M298" s="216" t="s">
        <v>10</v>
      </c>
      <c r="N298" s="217">
        <f>AI17</f>
        <v>0</v>
      </c>
      <c r="O298" s="217"/>
      <c r="P298" s="217"/>
      <c r="Q298" s="217"/>
      <c r="R298" s="245" t="str">
        <f>LOOKUP(M17,squad!$B$18:$B$59,squad!$G$18:$G$59)</f>
        <v> </v>
      </c>
      <c r="S298" s="216" t="s">
        <v>10</v>
      </c>
      <c r="T298" s="217">
        <f>AJ17</f>
        <v>0</v>
      </c>
      <c r="U298" s="217"/>
      <c r="V298" s="217"/>
      <c r="W298" s="217"/>
      <c r="X298" s="245" t="str">
        <f>LOOKUP(S17,squad!$B$18:$B$59,squad!$G$18:$G$59)</f>
        <v> </v>
      </c>
      <c r="Y298" s="216" t="s">
        <v>10</v>
      </c>
      <c r="Z298" s="217">
        <f>AK17</f>
        <v>0</v>
      </c>
      <c r="AA298" s="217"/>
      <c r="AB298" s="217"/>
      <c r="AC298" s="217"/>
      <c r="AD298" s="245" t="str">
        <f>LOOKUP(Y17,squad!$B$18:$B$59,squad!$G$18:$G$59)</f>
        <v> </v>
      </c>
    </row>
    <row r="299" spans="1:30" ht="13.5" hidden="1" thickBot="1">
      <c r="A299" s="216" t="s">
        <v>11</v>
      </c>
      <c r="B299" s="217">
        <f aca="true" t="shared" si="109" ref="B299:B317">AG18</f>
        <v>0</v>
      </c>
      <c r="C299" s="217"/>
      <c r="D299" s="217"/>
      <c r="E299" s="217"/>
      <c r="F299" s="245" t="str">
        <f>LOOKUP(A18,squad!$B$18:$B$59,squad!$G$18:$G$59)</f>
        <v> </v>
      </c>
      <c r="G299" s="221" t="s">
        <v>11</v>
      </c>
      <c r="H299" s="26">
        <f aca="true" t="shared" si="110" ref="H299:H317">AH18</f>
        <v>0</v>
      </c>
      <c r="I299" s="26"/>
      <c r="J299" s="26"/>
      <c r="K299" s="26"/>
      <c r="L299" s="231" t="str">
        <f>LOOKUP(G18,squad!$B$18:$B$59,squad!$G$18:$G$59)</f>
        <v> </v>
      </c>
      <c r="M299" s="221" t="s">
        <v>11</v>
      </c>
      <c r="N299" s="26">
        <f aca="true" t="shared" si="111" ref="N299:N317">AI18</f>
        <v>0</v>
      </c>
      <c r="O299" s="26"/>
      <c r="P299" s="26"/>
      <c r="Q299" s="26"/>
      <c r="R299" s="231" t="str">
        <f>LOOKUP(M18,squad!$B$18:$B$59,squad!$G$18:$G$59)</f>
        <v> </v>
      </c>
      <c r="S299" s="221" t="s">
        <v>11</v>
      </c>
      <c r="T299" s="26">
        <f aca="true" t="shared" si="112" ref="T299:T317">AJ18</f>
        <v>0</v>
      </c>
      <c r="U299" s="26"/>
      <c r="V299" s="26"/>
      <c r="W299" s="26"/>
      <c r="X299" s="231" t="str">
        <f>LOOKUP(S18,squad!$B$18:$B$59,squad!$G$18:$G$59)</f>
        <v> </v>
      </c>
      <c r="Y299" s="221" t="s">
        <v>11</v>
      </c>
      <c r="Z299" s="26">
        <f aca="true" t="shared" si="113" ref="Z299:Z316">AK18</f>
        <v>0</v>
      </c>
      <c r="AA299" s="26"/>
      <c r="AB299" s="26"/>
      <c r="AC299" s="26"/>
      <c r="AD299" s="231" t="str">
        <f>LOOKUP(Y18,squad!$B$18:$B$59,squad!$G$18:$G$59)</f>
        <v> </v>
      </c>
    </row>
    <row r="300" spans="1:30" ht="12.75" hidden="1">
      <c r="A300" s="25" t="s">
        <v>12</v>
      </c>
      <c r="B300" s="1">
        <f t="shared" si="109"/>
        <v>0</v>
      </c>
      <c r="C300" s="1"/>
      <c r="D300" s="1"/>
      <c r="E300" s="1"/>
      <c r="F300" s="230" t="str">
        <f>LOOKUP(A19,squad!$B$18:$B$59,squad!$G$18:$G$59)</f>
        <v> </v>
      </c>
      <c r="G300" s="25" t="s">
        <v>12</v>
      </c>
      <c r="H300" s="1">
        <f t="shared" si="110"/>
        <v>0</v>
      </c>
      <c r="I300" s="1"/>
      <c r="J300" s="1"/>
      <c r="K300" s="1"/>
      <c r="L300" s="230" t="str">
        <f>LOOKUP(G19,squad!$B$18:$B$59,squad!$G$18:$G$59)</f>
        <v> </v>
      </c>
      <c r="M300" s="25" t="s">
        <v>12</v>
      </c>
      <c r="N300" s="1">
        <f t="shared" si="111"/>
        <v>0</v>
      </c>
      <c r="O300" s="1"/>
      <c r="P300" s="1"/>
      <c r="Q300" s="1"/>
      <c r="R300" s="230" t="str">
        <f>LOOKUP(M19,squad!$B$18:$B$59,squad!$G$18:$G$59)</f>
        <v> </v>
      </c>
      <c r="S300" s="25" t="s">
        <v>12</v>
      </c>
      <c r="T300" s="1">
        <f t="shared" si="112"/>
        <v>0</v>
      </c>
      <c r="U300" s="1"/>
      <c r="V300" s="1"/>
      <c r="W300" s="1"/>
      <c r="X300" s="230" t="str">
        <f>LOOKUP(S19,squad!$B$18:$B$59,squad!$G$18:$G$59)</f>
        <v> </v>
      </c>
      <c r="Y300" s="25" t="s">
        <v>12</v>
      </c>
      <c r="Z300" s="1">
        <f t="shared" si="113"/>
        <v>0</v>
      </c>
      <c r="AA300" s="1"/>
      <c r="AB300" s="1"/>
      <c r="AC300" s="1"/>
      <c r="AD300" s="230" t="str">
        <f>LOOKUP(Y19,squad!$B$18:$B$59,squad!$G$18:$G$59)</f>
        <v> </v>
      </c>
    </row>
    <row r="301" spans="1:30" ht="12.75" hidden="1">
      <c r="A301" s="25" t="s">
        <v>12</v>
      </c>
      <c r="B301" s="1">
        <f t="shared" si="109"/>
        <v>0</v>
      </c>
      <c r="C301" s="1"/>
      <c r="D301" s="1"/>
      <c r="E301" s="1"/>
      <c r="F301" s="230" t="str">
        <f>LOOKUP(A20,squad!$B$18:$B$59,squad!$G$18:$G$59)</f>
        <v> </v>
      </c>
      <c r="G301" s="25" t="s">
        <v>12</v>
      </c>
      <c r="H301" s="1">
        <f t="shared" si="110"/>
        <v>0</v>
      </c>
      <c r="I301" s="1"/>
      <c r="J301" s="1"/>
      <c r="K301" s="1"/>
      <c r="L301" s="230" t="str">
        <f>LOOKUP(G20,squad!$B$18:$B$59,squad!$G$18:$G$59)</f>
        <v> </v>
      </c>
      <c r="M301" s="25" t="s">
        <v>12</v>
      </c>
      <c r="N301" s="1">
        <f t="shared" si="111"/>
        <v>0</v>
      </c>
      <c r="O301" s="1"/>
      <c r="P301" s="1"/>
      <c r="Q301" s="1"/>
      <c r="R301" s="230" t="str">
        <f>LOOKUP(M20,squad!$B$18:$B$59,squad!$G$18:$G$59)</f>
        <v> </v>
      </c>
      <c r="S301" s="25" t="s">
        <v>12</v>
      </c>
      <c r="T301" s="1">
        <f t="shared" si="112"/>
        <v>0</v>
      </c>
      <c r="U301" s="1"/>
      <c r="V301" s="1"/>
      <c r="W301" s="1"/>
      <c r="X301" s="230" t="str">
        <f>LOOKUP(S20,squad!$B$18:$B$59,squad!$G$18:$G$59)</f>
        <v> </v>
      </c>
      <c r="Y301" s="25" t="s">
        <v>12</v>
      </c>
      <c r="Z301" s="1">
        <f t="shared" si="113"/>
        <v>0</v>
      </c>
      <c r="AA301" s="1"/>
      <c r="AB301" s="1"/>
      <c r="AC301" s="1"/>
      <c r="AD301" s="230" t="str">
        <f>LOOKUP(Y20,squad!$B$18:$B$59,squad!$G$18:$G$59)</f>
        <v> </v>
      </c>
    </row>
    <row r="302" spans="1:30" ht="12.75" hidden="1">
      <c r="A302" s="25" t="s">
        <v>12</v>
      </c>
      <c r="B302" s="1">
        <f t="shared" si="109"/>
        <v>0</v>
      </c>
      <c r="C302" s="1"/>
      <c r="D302" s="1"/>
      <c r="E302" s="1"/>
      <c r="F302" s="230" t="str">
        <f>LOOKUP(A21,squad!$B$18:$B$59,squad!$G$18:$G$59)</f>
        <v> </v>
      </c>
      <c r="G302" s="25" t="s">
        <v>12</v>
      </c>
      <c r="H302" s="1">
        <f t="shared" si="110"/>
        <v>0</v>
      </c>
      <c r="I302" s="1"/>
      <c r="J302" s="1"/>
      <c r="K302" s="1"/>
      <c r="L302" s="230" t="str">
        <f>LOOKUP(G21,squad!$B$18:$B$59,squad!$G$18:$G$59)</f>
        <v> </v>
      </c>
      <c r="M302" s="25" t="s">
        <v>12</v>
      </c>
      <c r="N302" s="1">
        <f t="shared" si="111"/>
        <v>0</v>
      </c>
      <c r="O302" s="1"/>
      <c r="P302" s="1"/>
      <c r="Q302" s="1"/>
      <c r="R302" s="230" t="str">
        <f>LOOKUP(M21,squad!$B$18:$B$59,squad!$G$18:$G$59)</f>
        <v> </v>
      </c>
      <c r="S302" s="25" t="s">
        <v>12</v>
      </c>
      <c r="T302" s="1">
        <f t="shared" si="112"/>
        <v>0</v>
      </c>
      <c r="U302" s="1"/>
      <c r="V302" s="1"/>
      <c r="W302" s="1"/>
      <c r="X302" s="230" t="str">
        <f>LOOKUP(S21,squad!$B$18:$B$59,squad!$G$18:$G$59)</f>
        <v> </v>
      </c>
      <c r="Y302" s="25" t="s">
        <v>12</v>
      </c>
      <c r="Z302" s="1">
        <f t="shared" si="113"/>
        <v>0</v>
      </c>
      <c r="AA302" s="1"/>
      <c r="AB302" s="1"/>
      <c r="AC302" s="1"/>
      <c r="AD302" s="230" t="str">
        <f>LOOKUP(Y21,squad!$B$18:$B$59,squad!$G$18:$G$59)</f>
        <v> </v>
      </c>
    </row>
    <row r="303" spans="1:30" ht="12.75" hidden="1">
      <c r="A303" s="25" t="s">
        <v>12</v>
      </c>
      <c r="B303" s="1">
        <f t="shared" si="109"/>
        <v>0</v>
      </c>
      <c r="C303" s="1"/>
      <c r="D303" s="1"/>
      <c r="E303" s="1"/>
      <c r="F303" s="230" t="str">
        <f>LOOKUP(A22,squad!$B$18:$B$59,squad!$G$18:$G$59)</f>
        <v> </v>
      </c>
      <c r="G303" s="25" t="s">
        <v>12</v>
      </c>
      <c r="H303" s="1">
        <f t="shared" si="110"/>
        <v>0</v>
      </c>
      <c r="I303" s="1"/>
      <c r="J303" s="1"/>
      <c r="K303" s="1"/>
      <c r="L303" s="230" t="str">
        <f>LOOKUP(G22,squad!$B$18:$B$59,squad!$G$18:$G$59)</f>
        <v> </v>
      </c>
      <c r="M303" s="25" t="s">
        <v>12</v>
      </c>
      <c r="N303" s="1">
        <f t="shared" si="111"/>
        <v>0</v>
      </c>
      <c r="O303" s="1"/>
      <c r="P303" s="1"/>
      <c r="Q303" s="1"/>
      <c r="R303" s="230" t="str">
        <f>LOOKUP(M22,squad!$B$18:$B$59,squad!$G$18:$G$59)</f>
        <v> </v>
      </c>
      <c r="S303" s="25" t="s">
        <v>12</v>
      </c>
      <c r="T303" s="1">
        <f t="shared" si="112"/>
        <v>0</v>
      </c>
      <c r="U303" s="1"/>
      <c r="V303" s="1"/>
      <c r="W303" s="1"/>
      <c r="X303" s="230" t="str">
        <f>LOOKUP(S22,squad!$B$18:$B$59,squad!$G$18:$G$59)</f>
        <v> </v>
      </c>
      <c r="Y303" s="25" t="s">
        <v>12</v>
      </c>
      <c r="Z303" s="1">
        <f t="shared" si="113"/>
        <v>0</v>
      </c>
      <c r="AA303" s="1"/>
      <c r="AB303" s="1"/>
      <c r="AC303" s="1"/>
      <c r="AD303" s="230" t="str">
        <f>LOOKUP(Y22,squad!$B$18:$B$59,squad!$G$18:$G$59)</f>
        <v> </v>
      </c>
    </row>
    <row r="304" spans="1:30" ht="12.75" hidden="1">
      <c r="A304" s="25" t="s">
        <v>12</v>
      </c>
      <c r="B304" s="1">
        <f t="shared" si="109"/>
        <v>0</v>
      </c>
      <c r="C304" s="1"/>
      <c r="D304" s="1"/>
      <c r="E304" s="1"/>
      <c r="F304" s="230" t="str">
        <f>LOOKUP(A23,squad!$B$18:$B$59,squad!$G$18:$G$59)</f>
        <v> </v>
      </c>
      <c r="G304" s="25" t="s">
        <v>12</v>
      </c>
      <c r="H304" s="1">
        <f t="shared" si="110"/>
        <v>0</v>
      </c>
      <c r="I304" s="1"/>
      <c r="J304" s="1"/>
      <c r="K304" s="1"/>
      <c r="L304" s="230" t="str">
        <f>LOOKUP(G23,squad!$B$18:$B$59,squad!$G$18:$G$59)</f>
        <v> </v>
      </c>
      <c r="M304" s="25" t="s">
        <v>12</v>
      </c>
      <c r="N304" s="1">
        <f t="shared" si="111"/>
        <v>0</v>
      </c>
      <c r="O304" s="1"/>
      <c r="P304" s="1"/>
      <c r="Q304" s="1"/>
      <c r="R304" s="230" t="str">
        <f>LOOKUP(M23,squad!$B$18:$B$59,squad!$G$18:$G$59)</f>
        <v> </v>
      </c>
      <c r="S304" s="25" t="s">
        <v>12</v>
      </c>
      <c r="T304" s="1">
        <f t="shared" si="112"/>
        <v>0</v>
      </c>
      <c r="U304" s="1"/>
      <c r="V304" s="1"/>
      <c r="W304" s="1"/>
      <c r="X304" s="230" t="str">
        <f>LOOKUP(S23,squad!$B$18:$B$59,squad!$G$18:$G$59)</f>
        <v> </v>
      </c>
      <c r="Y304" s="25" t="s">
        <v>12</v>
      </c>
      <c r="Z304" s="1">
        <f t="shared" si="113"/>
        <v>0</v>
      </c>
      <c r="AA304" s="1"/>
      <c r="AB304" s="1"/>
      <c r="AC304" s="1"/>
      <c r="AD304" s="230" t="str">
        <f>LOOKUP(Y23,squad!$B$18:$B$59,squad!$G$18:$G$59)</f>
        <v> </v>
      </c>
    </row>
    <row r="305" spans="1:30" ht="13.5" hidden="1" thickBot="1">
      <c r="A305" s="25" t="s">
        <v>12</v>
      </c>
      <c r="B305" s="1">
        <f t="shared" si="109"/>
        <v>0</v>
      </c>
      <c r="C305" s="1"/>
      <c r="D305" s="1"/>
      <c r="E305" s="1"/>
      <c r="F305" s="230" t="str">
        <f>LOOKUP(A24,squad!$B$18:$B$59,squad!$G$18:$G$59)</f>
        <v> </v>
      </c>
      <c r="G305" s="25" t="s">
        <v>12</v>
      </c>
      <c r="H305" s="1">
        <f t="shared" si="110"/>
        <v>0</v>
      </c>
      <c r="I305" s="1"/>
      <c r="J305" s="1"/>
      <c r="K305" s="1"/>
      <c r="L305" s="230" t="str">
        <f>LOOKUP(G24,squad!$B$18:$B$59,squad!$G$18:$G$59)</f>
        <v> </v>
      </c>
      <c r="M305" s="25" t="s">
        <v>12</v>
      </c>
      <c r="N305" s="1">
        <f t="shared" si="111"/>
        <v>0</v>
      </c>
      <c r="O305" s="1"/>
      <c r="P305" s="1"/>
      <c r="Q305" s="1"/>
      <c r="R305" s="230" t="str">
        <f>LOOKUP(M24,squad!$B$18:$B$59,squad!$G$18:$G$59)</f>
        <v> </v>
      </c>
      <c r="S305" s="25" t="s">
        <v>12</v>
      </c>
      <c r="T305" s="1">
        <f t="shared" si="112"/>
        <v>0</v>
      </c>
      <c r="U305" s="1"/>
      <c r="V305" s="1"/>
      <c r="W305" s="1"/>
      <c r="X305" s="230" t="str">
        <f>LOOKUP(S24,squad!$B$18:$B$59,squad!$G$18:$G$59)</f>
        <v> </v>
      </c>
      <c r="Y305" s="25" t="s">
        <v>12</v>
      </c>
      <c r="Z305" s="1">
        <f t="shared" si="113"/>
        <v>0</v>
      </c>
      <c r="AA305" s="1"/>
      <c r="AB305" s="1"/>
      <c r="AC305" s="1"/>
      <c r="AD305" s="230" t="str">
        <f>LOOKUP(Y24,squad!$B$18:$B$59,squad!$G$18:$G$59)</f>
        <v> </v>
      </c>
    </row>
    <row r="306" spans="1:30" ht="12.75" hidden="1">
      <c r="A306" s="226" t="s">
        <v>13</v>
      </c>
      <c r="B306" s="218">
        <f t="shared" si="109"/>
        <v>0</v>
      </c>
      <c r="C306" s="218">
        <f>IF(E11="H",IF(B306="MLM",INT(F25/2),0),0)</f>
        <v>0</v>
      </c>
      <c r="D306" s="218"/>
      <c r="E306" s="218"/>
      <c r="F306" s="232" t="str">
        <f>LOOKUP(A25,squad!$B$18:$B$59,squad!$G$18:$G$59)</f>
        <v> </v>
      </c>
      <c r="G306" s="226" t="s">
        <v>13</v>
      </c>
      <c r="H306" s="218">
        <f t="shared" si="110"/>
        <v>0</v>
      </c>
      <c r="I306" s="218">
        <f aca="true" t="shared" si="114" ref="I306:I311">IF($K$11="H",IF(H306="MLM",INT(L25/2),0),0)</f>
        <v>0</v>
      </c>
      <c r="J306" s="218"/>
      <c r="K306" s="218"/>
      <c r="L306" s="232" t="str">
        <f>LOOKUP(G25,squad!$B$18:$B$59,squad!$G$18:$G$59)</f>
        <v> </v>
      </c>
      <c r="M306" s="226" t="s">
        <v>13</v>
      </c>
      <c r="N306" s="218">
        <f t="shared" si="111"/>
        <v>0</v>
      </c>
      <c r="O306" s="218">
        <f aca="true" t="shared" si="115" ref="O306:O311">IF($Q$11="H",IF(N306="MLM",INT(R25/2),0),0)</f>
        <v>0</v>
      </c>
      <c r="P306" s="218"/>
      <c r="Q306" s="218"/>
      <c r="R306" s="232" t="str">
        <f>LOOKUP(M25,squad!$B$18:$B$59,squad!$G$18:$G$59)</f>
        <v> </v>
      </c>
      <c r="S306" s="226" t="s">
        <v>13</v>
      </c>
      <c r="T306" s="218">
        <f t="shared" si="112"/>
        <v>0</v>
      </c>
      <c r="U306" s="218">
        <f aca="true" t="shared" si="116" ref="U306:U311">IF($W$11="H",IF(T306="MLM",INT(X25/2),0),0)</f>
        <v>0</v>
      </c>
      <c r="V306" s="218"/>
      <c r="W306" s="218"/>
      <c r="X306" s="232" t="str">
        <f>LOOKUP(S25,squad!$B$18:$B$59,squad!$G$18:$G$59)</f>
        <v> </v>
      </c>
      <c r="Y306" s="226" t="s">
        <v>13</v>
      </c>
      <c r="Z306" s="218">
        <f t="shared" si="113"/>
        <v>0</v>
      </c>
      <c r="AA306" s="218">
        <f aca="true" t="shared" si="117" ref="AA306:AA311">IF($AC$11="H",IF(Z306="MLM",INT(AD25/2),0),0)</f>
        <v>0</v>
      </c>
      <c r="AB306" s="218"/>
      <c r="AC306" s="218"/>
      <c r="AD306" s="232" t="str">
        <f>LOOKUP(Y25,squad!$B$18:$B$59,squad!$G$18:$G$59)</f>
        <v> </v>
      </c>
    </row>
    <row r="307" spans="1:30" ht="12.75" hidden="1">
      <c r="A307" s="25" t="s">
        <v>13</v>
      </c>
      <c r="B307" s="1">
        <f t="shared" si="109"/>
        <v>0</v>
      </c>
      <c r="C307" s="1">
        <f>IF(E11="H",IF(B307="MLM",INT(F26/2),0),0)</f>
        <v>0</v>
      </c>
      <c r="D307" s="1"/>
      <c r="E307" s="1"/>
      <c r="F307" s="230" t="str">
        <f>LOOKUP(A26,squad!$B$18:$B$59,squad!$G$18:$G$59)</f>
        <v> </v>
      </c>
      <c r="G307" s="25" t="s">
        <v>13</v>
      </c>
      <c r="H307" s="1">
        <f t="shared" si="110"/>
        <v>0</v>
      </c>
      <c r="I307" s="1">
        <f t="shared" si="114"/>
        <v>0</v>
      </c>
      <c r="J307" s="1"/>
      <c r="K307" s="1"/>
      <c r="L307" s="230" t="str">
        <f>LOOKUP(G26,squad!$B$18:$B$59,squad!$G$18:$G$59)</f>
        <v> </v>
      </c>
      <c r="M307" s="25" t="s">
        <v>13</v>
      </c>
      <c r="N307" s="1">
        <f t="shared" si="111"/>
        <v>0</v>
      </c>
      <c r="O307" s="1">
        <f t="shared" si="115"/>
        <v>0</v>
      </c>
      <c r="P307" s="1"/>
      <c r="Q307" s="1"/>
      <c r="R307" s="230" t="str">
        <f>LOOKUP(M26,squad!$B$18:$B$59,squad!$G$18:$G$59)</f>
        <v> </v>
      </c>
      <c r="S307" s="25" t="s">
        <v>13</v>
      </c>
      <c r="T307" s="1">
        <f t="shared" si="112"/>
        <v>0</v>
      </c>
      <c r="U307" s="1">
        <f t="shared" si="116"/>
        <v>0</v>
      </c>
      <c r="V307" s="1"/>
      <c r="W307" s="1"/>
      <c r="X307" s="230" t="str">
        <f>LOOKUP(S26,squad!$B$18:$B$59,squad!$G$18:$G$59)</f>
        <v> </v>
      </c>
      <c r="Y307" s="25" t="s">
        <v>13</v>
      </c>
      <c r="Z307" s="1">
        <f t="shared" si="113"/>
        <v>0</v>
      </c>
      <c r="AA307" s="1">
        <f t="shared" si="117"/>
        <v>0</v>
      </c>
      <c r="AB307" s="1"/>
      <c r="AC307" s="1"/>
      <c r="AD307" s="230" t="str">
        <f>LOOKUP(Y26,squad!$B$18:$B$59,squad!$G$18:$G$59)</f>
        <v> </v>
      </c>
    </row>
    <row r="308" spans="1:30" ht="12.75" hidden="1">
      <c r="A308" s="25" t="s">
        <v>13</v>
      </c>
      <c r="B308" s="1">
        <f t="shared" si="109"/>
        <v>0</v>
      </c>
      <c r="C308" s="1">
        <f>IF(E11="H",IF(B308="MLM",INT(F27/2),0),0)</f>
        <v>0</v>
      </c>
      <c r="D308" s="1"/>
      <c r="E308" s="1"/>
      <c r="F308" s="230" t="str">
        <f>LOOKUP(A27,squad!$B$18:$B$59,squad!$G$18:$G$59)</f>
        <v> </v>
      </c>
      <c r="G308" s="25" t="s">
        <v>13</v>
      </c>
      <c r="H308" s="1">
        <f t="shared" si="110"/>
        <v>0</v>
      </c>
      <c r="I308" s="1">
        <f t="shared" si="114"/>
        <v>0</v>
      </c>
      <c r="J308" s="1"/>
      <c r="K308" s="1"/>
      <c r="L308" s="230" t="str">
        <f>LOOKUP(G27,squad!$B$18:$B$59,squad!$G$18:$G$59)</f>
        <v> </v>
      </c>
      <c r="M308" s="25" t="s">
        <v>13</v>
      </c>
      <c r="N308" s="1">
        <f t="shared" si="111"/>
        <v>0</v>
      </c>
      <c r="O308" s="1">
        <f t="shared" si="115"/>
        <v>0</v>
      </c>
      <c r="P308" s="1"/>
      <c r="Q308" s="1"/>
      <c r="R308" s="230" t="str">
        <f>LOOKUP(M27,squad!$B$18:$B$59,squad!$G$18:$G$59)</f>
        <v> </v>
      </c>
      <c r="S308" s="25" t="s">
        <v>13</v>
      </c>
      <c r="T308" s="1">
        <f t="shared" si="112"/>
        <v>0</v>
      </c>
      <c r="U308" s="1">
        <f t="shared" si="116"/>
        <v>0</v>
      </c>
      <c r="V308" s="1"/>
      <c r="W308" s="1"/>
      <c r="X308" s="230" t="str">
        <f>LOOKUP(S27,squad!$B$18:$B$59,squad!$G$18:$G$59)</f>
        <v> </v>
      </c>
      <c r="Y308" s="25" t="s">
        <v>13</v>
      </c>
      <c r="Z308" s="1">
        <f t="shared" si="113"/>
        <v>0</v>
      </c>
      <c r="AA308" s="1">
        <f t="shared" si="117"/>
        <v>0</v>
      </c>
      <c r="AB308" s="1"/>
      <c r="AC308" s="1"/>
      <c r="AD308" s="230" t="str">
        <f>LOOKUP(Y27,squad!$B$18:$B$59,squad!$G$18:$G$59)</f>
        <v> </v>
      </c>
    </row>
    <row r="309" spans="1:30" ht="12.75" hidden="1">
      <c r="A309" s="25" t="s">
        <v>13</v>
      </c>
      <c r="B309" s="1">
        <f t="shared" si="109"/>
        <v>0</v>
      </c>
      <c r="C309" s="1">
        <f>IF(E11="H",IF(B309="MLM",INT(F28/2),0),0)</f>
        <v>0</v>
      </c>
      <c r="D309" s="1"/>
      <c r="E309" s="1"/>
      <c r="F309" s="230" t="str">
        <f>LOOKUP(A28,squad!$B$18:$B$59,squad!$G$18:$G$59)</f>
        <v> </v>
      </c>
      <c r="G309" s="25" t="s">
        <v>13</v>
      </c>
      <c r="H309" s="1">
        <f t="shared" si="110"/>
        <v>0</v>
      </c>
      <c r="I309" s="1">
        <f t="shared" si="114"/>
        <v>0</v>
      </c>
      <c r="J309" s="1"/>
      <c r="K309" s="1"/>
      <c r="L309" s="230" t="str">
        <f>LOOKUP(G28,squad!$B$18:$B$59,squad!$G$18:$G$59)</f>
        <v> </v>
      </c>
      <c r="M309" s="25" t="s">
        <v>13</v>
      </c>
      <c r="N309" s="1">
        <f t="shared" si="111"/>
        <v>0</v>
      </c>
      <c r="O309" s="1">
        <f t="shared" si="115"/>
        <v>0</v>
      </c>
      <c r="P309" s="1"/>
      <c r="Q309" s="1"/>
      <c r="R309" s="230" t="str">
        <f>LOOKUP(M28,squad!$B$18:$B$59,squad!$G$18:$G$59)</f>
        <v> </v>
      </c>
      <c r="S309" s="25" t="s">
        <v>13</v>
      </c>
      <c r="T309" s="1">
        <f t="shared" si="112"/>
        <v>0</v>
      </c>
      <c r="U309" s="1">
        <f t="shared" si="116"/>
        <v>0</v>
      </c>
      <c r="V309" s="1"/>
      <c r="W309" s="1"/>
      <c r="X309" s="230" t="str">
        <f>LOOKUP(S28,squad!$B$18:$B$59,squad!$G$18:$G$59)</f>
        <v> </v>
      </c>
      <c r="Y309" s="25" t="s">
        <v>13</v>
      </c>
      <c r="Z309" s="1">
        <f t="shared" si="113"/>
        <v>0</v>
      </c>
      <c r="AA309" s="1">
        <f t="shared" si="117"/>
        <v>0</v>
      </c>
      <c r="AB309" s="1"/>
      <c r="AC309" s="1"/>
      <c r="AD309" s="230" t="str">
        <f>LOOKUP(Y28,squad!$B$18:$B$59,squad!$G$18:$G$59)</f>
        <v> </v>
      </c>
    </row>
    <row r="310" spans="1:30" ht="12.75" hidden="1">
      <c r="A310" s="25" t="s">
        <v>13</v>
      </c>
      <c r="B310" s="1">
        <f t="shared" si="109"/>
        <v>0</v>
      </c>
      <c r="C310" s="1">
        <f>IF(E11="H",IF(B310="MLM",INT(F29/2),0),0)</f>
        <v>0</v>
      </c>
      <c r="D310" s="1"/>
      <c r="E310" s="1"/>
      <c r="F310" s="230" t="str">
        <f>LOOKUP(A29,squad!$B$18:$B$59,squad!$G$18:$G$59)</f>
        <v> </v>
      </c>
      <c r="G310" s="25" t="s">
        <v>13</v>
      </c>
      <c r="H310" s="1">
        <f t="shared" si="110"/>
        <v>0</v>
      </c>
      <c r="I310" s="1">
        <f t="shared" si="114"/>
        <v>0</v>
      </c>
      <c r="J310" s="1"/>
      <c r="K310" s="1"/>
      <c r="L310" s="230" t="str">
        <f>LOOKUP(G29,squad!$B$18:$B$59,squad!$G$18:$G$59)</f>
        <v> </v>
      </c>
      <c r="M310" s="25" t="s">
        <v>13</v>
      </c>
      <c r="N310" s="1">
        <f t="shared" si="111"/>
        <v>0</v>
      </c>
      <c r="O310" s="1">
        <f t="shared" si="115"/>
        <v>0</v>
      </c>
      <c r="P310" s="1"/>
      <c r="Q310" s="1"/>
      <c r="R310" s="230" t="str">
        <f>LOOKUP(M29,squad!$B$18:$B$59,squad!$G$18:$G$59)</f>
        <v> </v>
      </c>
      <c r="S310" s="25" t="s">
        <v>13</v>
      </c>
      <c r="T310" s="1">
        <f t="shared" si="112"/>
        <v>0</v>
      </c>
      <c r="U310" s="1">
        <f t="shared" si="116"/>
        <v>0</v>
      </c>
      <c r="V310" s="1"/>
      <c r="W310" s="1"/>
      <c r="X310" s="230" t="str">
        <f>LOOKUP(S29,squad!$B$18:$B$59,squad!$G$18:$G$59)</f>
        <v> </v>
      </c>
      <c r="Y310" s="25" t="s">
        <v>13</v>
      </c>
      <c r="Z310" s="1">
        <f t="shared" si="113"/>
        <v>0</v>
      </c>
      <c r="AA310" s="1">
        <f t="shared" si="117"/>
        <v>0</v>
      </c>
      <c r="AB310" s="1"/>
      <c r="AC310" s="1"/>
      <c r="AD310" s="230" t="str">
        <f>LOOKUP(Y29,squad!$B$18:$B$59,squad!$G$18:$G$59)</f>
        <v> </v>
      </c>
    </row>
    <row r="311" spans="1:30" ht="13.5" hidden="1" thickBot="1">
      <c r="A311" s="221" t="s">
        <v>13</v>
      </c>
      <c r="B311" s="26">
        <f t="shared" si="109"/>
        <v>0</v>
      </c>
      <c r="C311" s="26">
        <f>IF(E11="H",IF(B311="MLM",INT(F30/2),0),0)</f>
        <v>0</v>
      </c>
      <c r="D311" s="26"/>
      <c r="E311" s="26"/>
      <c r="F311" s="231" t="str">
        <f>LOOKUP(A30,squad!$B$18:$B$59,squad!$G$18:$G$59)</f>
        <v> </v>
      </c>
      <c r="G311" s="221" t="s">
        <v>13</v>
      </c>
      <c r="H311" s="26">
        <f t="shared" si="110"/>
        <v>0</v>
      </c>
      <c r="I311" s="26">
        <f t="shared" si="114"/>
        <v>0</v>
      </c>
      <c r="J311" s="26"/>
      <c r="K311" s="26"/>
      <c r="L311" s="231" t="str">
        <f>LOOKUP(G30,squad!$B$18:$B$59,squad!$G$18:$G$59)</f>
        <v> </v>
      </c>
      <c r="M311" s="221" t="s">
        <v>13</v>
      </c>
      <c r="N311" s="26">
        <f t="shared" si="111"/>
        <v>0</v>
      </c>
      <c r="O311" s="26">
        <f t="shared" si="115"/>
        <v>0</v>
      </c>
      <c r="P311" s="26"/>
      <c r="Q311" s="26"/>
      <c r="R311" s="231" t="str">
        <f>LOOKUP(M30,squad!$B$18:$B$59,squad!$G$18:$G$59)</f>
        <v> </v>
      </c>
      <c r="S311" s="221" t="s">
        <v>13</v>
      </c>
      <c r="T311" s="26">
        <f t="shared" si="112"/>
        <v>0</v>
      </c>
      <c r="U311" s="26">
        <f t="shared" si="116"/>
        <v>0</v>
      </c>
      <c r="V311" s="26"/>
      <c r="W311" s="26"/>
      <c r="X311" s="231" t="str">
        <f>LOOKUP(S30,squad!$B$18:$B$59,squad!$G$18:$G$59)</f>
        <v> </v>
      </c>
      <c r="Y311" s="221" t="s">
        <v>13</v>
      </c>
      <c r="Z311" s="26">
        <f t="shared" si="113"/>
        <v>0</v>
      </c>
      <c r="AA311" s="26">
        <f t="shared" si="117"/>
        <v>0</v>
      </c>
      <c r="AB311" s="26"/>
      <c r="AC311" s="26"/>
      <c r="AD311" s="231" t="str">
        <f>LOOKUP(Y30,squad!$B$18:$B$59,squad!$G$18:$G$59)</f>
        <v> </v>
      </c>
    </row>
    <row r="312" spans="1:30" ht="12.75" hidden="1">
      <c r="A312" s="25" t="s">
        <v>14</v>
      </c>
      <c r="B312" s="1">
        <f t="shared" si="109"/>
        <v>0</v>
      </c>
      <c r="C312" s="1"/>
      <c r="D312" s="1"/>
      <c r="E312" s="1"/>
      <c r="F312" s="230" t="str">
        <f>LOOKUP(A31,squad!$B$18:$B$59,squad!$G$18:$G$59)</f>
        <v> </v>
      </c>
      <c r="G312" s="25" t="s">
        <v>14</v>
      </c>
      <c r="H312" s="1">
        <f t="shared" si="110"/>
        <v>0</v>
      </c>
      <c r="I312" s="1"/>
      <c r="J312" s="1"/>
      <c r="K312" s="1"/>
      <c r="L312" s="230" t="str">
        <f>LOOKUP(G31,squad!$B$18:$B$59,squad!$G$18:$G$59)</f>
        <v> </v>
      </c>
      <c r="M312" s="25" t="s">
        <v>14</v>
      </c>
      <c r="N312" s="1">
        <f t="shared" si="111"/>
        <v>0</v>
      </c>
      <c r="O312" s="1"/>
      <c r="P312" s="1"/>
      <c r="Q312" s="1"/>
      <c r="R312" s="230" t="str">
        <f>LOOKUP(M31,squad!$B$18:$B$59,squad!$G$18:$G$59)</f>
        <v> </v>
      </c>
      <c r="S312" s="25" t="s">
        <v>14</v>
      </c>
      <c r="T312" s="1">
        <f t="shared" si="112"/>
        <v>0</v>
      </c>
      <c r="U312" s="1"/>
      <c r="V312" s="1"/>
      <c r="W312" s="1"/>
      <c r="X312" s="230" t="str">
        <f>LOOKUP(S31,squad!$B$18:$B$59,squad!$G$18:$G$59)</f>
        <v> </v>
      </c>
      <c r="Y312" s="25" t="s">
        <v>14</v>
      </c>
      <c r="Z312" s="1">
        <f t="shared" si="113"/>
        <v>0</v>
      </c>
      <c r="AA312" s="1"/>
      <c r="AB312" s="1"/>
      <c r="AC312" s="1"/>
      <c r="AD312" s="230" t="str">
        <f>LOOKUP(Y31,squad!$B$18:$B$59,squad!$G$18:$G$59)</f>
        <v> </v>
      </c>
    </row>
    <row r="313" spans="1:30" ht="12.75" hidden="1">
      <c r="A313" s="25" t="s">
        <v>14</v>
      </c>
      <c r="B313" s="1">
        <f t="shared" si="109"/>
        <v>0</v>
      </c>
      <c r="C313" s="1"/>
      <c r="D313" s="1"/>
      <c r="E313" s="1"/>
      <c r="F313" s="230" t="str">
        <f>LOOKUP(A32,squad!$B$18:$B$59,squad!$G$18:$G$59)</f>
        <v> </v>
      </c>
      <c r="G313" s="25" t="s">
        <v>14</v>
      </c>
      <c r="H313" s="1">
        <f t="shared" si="110"/>
        <v>0</v>
      </c>
      <c r="I313" s="1"/>
      <c r="J313" s="1"/>
      <c r="K313" s="1"/>
      <c r="L313" s="230" t="str">
        <f>LOOKUP(G32,squad!$B$18:$B$59,squad!$G$18:$G$59)</f>
        <v> </v>
      </c>
      <c r="M313" s="25" t="s">
        <v>14</v>
      </c>
      <c r="N313" s="1">
        <f t="shared" si="111"/>
        <v>0</v>
      </c>
      <c r="O313" s="1"/>
      <c r="P313" s="1"/>
      <c r="Q313" s="1"/>
      <c r="R313" s="230" t="str">
        <f>LOOKUP(M32,squad!$B$18:$B$59,squad!$G$18:$G$59)</f>
        <v> </v>
      </c>
      <c r="S313" s="25" t="s">
        <v>14</v>
      </c>
      <c r="T313" s="1">
        <f t="shared" si="112"/>
        <v>0</v>
      </c>
      <c r="U313" s="1"/>
      <c r="V313" s="1"/>
      <c r="W313" s="1"/>
      <c r="X313" s="230" t="str">
        <f>LOOKUP(S32,squad!$B$18:$B$59,squad!$G$18:$G$59)</f>
        <v> </v>
      </c>
      <c r="Y313" s="25" t="s">
        <v>14</v>
      </c>
      <c r="Z313" s="1">
        <f t="shared" si="113"/>
        <v>0</v>
      </c>
      <c r="AA313" s="1"/>
      <c r="AB313" s="1"/>
      <c r="AC313" s="1"/>
      <c r="AD313" s="230" t="str">
        <f>LOOKUP(Y32,squad!$B$18:$B$59,squad!$G$18:$G$59)</f>
        <v> </v>
      </c>
    </row>
    <row r="314" spans="1:30" ht="12.75" hidden="1">
      <c r="A314" s="25" t="s">
        <v>14</v>
      </c>
      <c r="B314" s="1">
        <f t="shared" si="109"/>
        <v>0</v>
      </c>
      <c r="C314" s="1"/>
      <c r="D314" s="1"/>
      <c r="E314" s="1"/>
      <c r="F314" s="230" t="str">
        <f>LOOKUP(A33,squad!$B$18:$B$59,squad!$G$18:$G$59)</f>
        <v> </v>
      </c>
      <c r="G314" s="25" t="s">
        <v>14</v>
      </c>
      <c r="H314" s="1">
        <f t="shared" si="110"/>
        <v>0</v>
      </c>
      <c r="I314" s="1"/>
      <c r="J314" s="1"/>
      <c r="K314" s="1"/>
      <c r="L314" s="230" t="str">
        <f>LOOKUP(G33,squad!$B$18:$B$59,squad!$G$18:$G$59)</f>
        <v> </v>
      </c>
      <c r="M314" s="25" t="s">
        <v>14</v>
      </c>
      <c r="N314" s="1">
        <f t="shared" si="111"/>
        <v>0</v>
      </c>
      <c r="O314" s="1"/>
      <c r="P314" s="1"/>
      <c r="Q314" s="1"/>
      <c r="R314" s="230" t="str">
        <f>LOOKUP(M33,squad!$B$18:$B$59,squad!$G$18:$G$59)</f>
        <v> </v>
      </c>
      <c r="S314" s="25" t="s">
        <v>14</v>
      </c>
      <c r="T314" s="1">
        <f t="shared" si="112"/>
        <v>0</v>
      </c>
      <c r="U314" s="1"/>
      <c r="V314" s="1"/>
      <c r="W314" s="1"/>
      <c r="X314" s="230" t="str">
        <f>LOOKUP(S33,squad!$B$18:$B$59,squad!$G$18:$G$59)</f>
        <v> </v>
      </c>
      <c r="Y314" s="25" t="s">
        <v>14</v>
      </c>
      <c r="Z314" s="1">
        <f t="shared" si="113"/>
        <v>0</v>
      </c>
      <c r="AA314" s="1"/>
      <c r="AB314" s="1"/>
      <c r="AC314" s="1"/>
      <c r="AD314" s="230" t="str">
        <f>LOOKUP(Y33,squad!$B$18:$B$59,squad!$G$18:$G$59)</f>
        <v> </v>
      </c>
    </row>
    <row r="315" spans="1:30" ht="12.75" hidden="1">
      <c r="A315" s="25" t="s">
        <v>14</v>
      </c>
      <c r="B315" s="1">
        <f t="shared" si="109"/>
        <v>0</v>
      </c>
      <c r="C315" s="1"/>
      <c r="D315" s="1"/>
      <c r="E315" s="1"/>
      <c r="F315" s="230" t="str">
        <f>LOOKUP(A34,squad!$B$18:$B$59,squad!$G$18:$G$59)</f>
        <v> </v>
      </c>
      <c r="G315" s="25" t="s">
        <v>14</v>
      </c>
      <c r="H315" s="1">
        <f t="shared" si="110"/>
        <v>0</v>
      </c>
      <c r="I315" s="1"/>
      <c r="J315" s="1"/>
      <c r="K315" s="1"/>
      <c r="L315" s="230" t="str">
        <f>LOOKUP(G34,squad!$B$18:$B$59,squad!$G$18:$G$59)</f>
        <v> </v>
      </c>
      <c r="M315" s="25" t="s">
        <v>14</v>
      </c>
      <c r="N315" s="1">
        <f t="shared" si="111"/>
        <v>0</v>
      </c>
      <c r="O315" s="1"/>
      <c r="P315" s="1"/>
      <c r="Q315" s="1"/>
      <c r="R315" s="230" t="str">
        <f>LOOKUP(M34,squad!$B$18:$B$59,squad!$G$18:$G$59)</f>
        <v> </v>
      </c>
      <c r="S315" s="25" t="s">
        <v>14</v>
      </c>
      <c r="T315" s="1">
        <f t="shared" si="112"/>
        <v>0</v>
      </c>
      <c r="U315" s="1"/>
      <c r="V315" s="1"/>
      <c r="W315" s="1"/>
      <c r="X315" s="230" t="str">
        <f>LOOKUP(S34,squad!$B$18:$B$59,squad!$G$18:$G$59)</f>
        <v> </v>
      </c>
      <c r="Y315" s="25" t="s">
        <v>14</v>
      </c>
      <c r="Z315" s="1">
        <f t="shared" si="113"/>
        <v>0</v>
      </c>
      <c r="AA315" s="1"/>
      <c r="AB315" s="1"/>
      <c r="AC315" s="1"/>
      <c r="AD315" s="230" t="str">
        <f>LOOKUP(Y34,squad!$B$18:$B$59,squad!$G$18:$G$59)</f>
        <v> </v>
      </c>
    </row>
    <row r="316" spans="1:30" ht="12.75" hidden="1">
      <c r="A316" s="25" t="s">
        <v>14</v>
      </c>
      <c r="B316" s="1">
        <f t="shared" si="109"/>
        <v>0</v>
      </c>
      <c r="C316" s="1"/>
      <c r="D316" s="1"/>
      <c r="E316" s="1"/>
      <c r="F316" s="230" t="str">
        <f>LOOKUP(A35,squad!$B$18:$B$59,squad!$G$18:$G$59)</f>
        <v> </v>
      </c>
      <c r="G316" s="25" t="s">
        <v>14</v>
      </c>
      <c r="H316" s="1">
        <f t="shared" si="110"/>
        <v>0</v>
      </c>
      <c r="I316" s="1"/>
      <c r="J316" s="1"/>
      <c r="K316" s="1"/>
      <c r="L316" s="230" t="str">
        <f>LOOKUP(G35,squad!$B$18:$B$59,squad!$G$18:$G$59)</f>
        <v> </v>
      </c>
      <c r="M316" s="25" t="s">
        <v>14</v>
      </c>
      <c r="N316" s="1">
        <f t="shared" si="111"/>
        <v>0</v>
      </c>
      <c r="O316" s="1"/>
      <c r="P316" s="1"/>
      <c r="Q316" s="1"/>
      <c r="R316" s="230" t="str">
        <f>LOOKUP(M35,squad!$B$18:$B$59,squad!$G$18:$G$59)</f>
        <v> </v>
      </c>
      <c r="S316" s="25" t="s">
        <v>14</v>
      </c>
      <c r="T316" s="1">
        <f t="shared" si="112"/>
        <v>0</v>
      </c>
      <c r="U316" s="1"/>
      <c r="V316" s="1"/>
      <c r="W316" s="1"/>
      <c r="X316" s="230" t="str">
        <f>LOOKUP(S35,squad!$B$18:$B$59,squad!$G$18:$G$59)</f>
        <v> </v>
      </c>
      <c r="Y316" s="25" t="s">
        <v>14</v>
      </c>
      <c r="Z316" s="1">
        <f t="shared" si="113"/>
        <v>0</v>
      </c>
      <c r="AA316" s="1"/>
      <c r="AB316" s="1"/>
      <c r="AC316" s="1"/>
      <c r="AD316" s="230" t="str">
        <f>LOOKUP(Y35,squad!$B$18:$B$59,squad!$G$18:$G$59)</f>
        <v> </v>
      </c>
    </row>
    <row r="317" spans="1:30" ht="13.5" hidden="1" thickBot="1">
      <c r="A317" s="221" t="s">
        <v>14</v>
      </c>
      <c r="B317" s="26">
        <f t="shared" si="109"/>
        <v>0</v>
      </c>
      <c r="C317" s="26"/>
      <c r="D317" s="26"/>
      <c r="E317" s="26"/>
      <c r="F317" s="231" t="str">
        <f>LOOKUP(A36,squad!$B$18:$B$59,squad!$G$18:$G$59)</f>
        <v> </v>
      </c>
      <c r="G317" s="221" t="s">
        <v>14</v>
      </c>
      <c r="H317" s="26">
        <f t="shared" si="110"/>
        <v>0</v>
      </c>
      <c r="I317" s="26"/>
      <c r="J317" s="26"/>
      <c r="K317" s="26"/>
      <c r="L317" s="231" t="str">
        <f>LOOKUP(G36,squad!$B$18:$B$59,squad!$G$18:$G$59)</f>
        <v> </v>
      </c>
      <c r="M317" s="221" t="s">
        <v>14</v>
      </c>
      <c r="N317" s="26">
        <f t="shared" si="111"/>
        <v>0</v>
      </c>
      <c r="O317" s="26"/>
      <c r="P317" s="26"/>
      <c r="Q317" s="26"/>
      <c r="R317" s="231" t="str">
        <f>LOOKUP(M36,squad!$B$18:$B$59,squad!$G$18:$G$59)</f>
        <v> </v>
      </c>
      <c r="S317" s="221" t="s">
        <v>14</v>
      </c>
      <c r="T317" s="26">
        <f t="shared" si="112"/>
        <v>0</v>
      </c>
      <c r="U317" s="26"/>
      <c r="V317" s="26"/>
      <c r="W317" s="26"/>
      <c r="X317" s="231" t="str">
        <f>LOOKUP(S36,squad!$B$18:$B$59,squad!$G$18:$G$59)</f>
        <v> </v>
      </c>
      <c r="Y317" s="221" t="s">
        <v>14</v>
      </c>
      <c r="Z317" s="26">
        <f>AZ36</f>
        <v>0</v>
      </c>
      <c r="AA317" s="26"/>
      <c r="AB317" s="26"/>
      <c r="AC317" s="26"/>
      <c r="AD317" s="231" t="str">
        <f>LOOKUP(Y36,squad!$B$18:$B$59,squad!$G$18:$G$59)</f>
        <v> </v>
      </c>
    </row>
    <row r="318" spans="1:30" ht="12.75" hidden="1">
      <c r="A318" s="222" t="s">
        <v>292</v>
      </c>
      <c r="B318" s="223"/>
      <c r="C318" s="223"/>
      <c r="D318" s="223"/>
      <c r="E318" s="223"/>
      <c r="F318" s="224"/>
      <c r="G318" s="222" t="s">
        <v>292</v>
      </c>
      <c r="H318" s="223"/>
      <c r="I318" s="223"/>
      <c r="J318" s="223"/>
      <c r="K318" s="223"/>
      <c r="L318" s="224"/>
      <c r="M318" s="222" t="s">
        <v>292</v>
      </c>
      <c r="N318" s="223"/>
      <c r="O318" s="223"/>
      <c r="P318" s="223"/>
      <c r="Q318" s="223"/>
      <c r="R318" s="224"/>
      <c r="S318" s="222" t="s">
        <v>292</v>
      </c>
      <c r="T318" s="223"/>
      <c r="U318" s="223"/>
      <c r="V318" s="223"/>
      <c r="W318" s="223"/>
      <c r="X318" s="224"/>
      <c r="Y318" s="222" t="s">
        <v>292</v>
      </c>
      <c r="Z318" s="223"/>
      <c r="AA318" s="223"/>
      <c r="AB318" s="223"/>
      <c r="AC318" s="223"/>
      <c r="AD318" s="224"/>
    </row>
    <row r="319" spans="1:30" ht="13.5" hidden="1" thickBot="1">
      <c r="A319" s="159"/>
      <c r="B319" s="7" t="s">
        <v>287</v>
      </c>
      <c r="C319" s="7"/>
      <c r="D319" s="7"/>
      <c r="E319" s="7"/>
      <c r="F319" s="227"/>
      <c r="G319" s="159"/>
      <c r="H319" s="7" t="s">
        <v>287</v>
      </c>
      <c r="I319" s="7"/>
      <c r="J319" s="7"/>
      <c r="K319" s="7"/>
      <c r="L319" s="227"/>
      <c r="M319" s="159"/>
      <c r="N319" s="7" t="s">
        <v>287</v>
      </c>
      <c r="O319" s="7"/>
      <c r="P319" s="7"/>
      <c r="Q319" s="7"/>
      <c r="R319" s="227"/>
      <c r="S319" s="159"/>
      <c r="T319" s="7" t="s">
        <v>287</v>
      </c>
      <c r="U319" s="7"/>
      <c r="V319" s="7"/>
      <c r="W319" s="7"/>
      <c r="X319" s="227"/>
      <c r="Y319" s="159"/>
      <c r="Z319" s="7" t="s">
        <v>287</v>
      </c>
      <c r="AA319" s="7"/>
      <c r="AB319" s="7"/>
      <c r="AC319" s="7"/>
      <c r="AD319" s="227"/>
    </row>
    <row r="320" spans="1:30" ht="13.5" hidden="1" thickBot="1">
      <c r="A320" s="216" t="s">
        <v>10</v>
      </c>
      <c r="B320" s="217">
        <f>AG17</f>
        <v>0</v>
      </c>
      <c r="C320" s="217"/>
      <c r="D320" s="217"/>
      <c r="E320" s="217"/>
      <c r="F320" s="245" t="str">
        <f>LOOKUP(A17,squad!$B$18:$B$59,squad!$G$18:$G$59)</f>
        <v> </v>
      </c>
      <c r="G320" s="218" t="s">
        <v>10</v>
      </c>
      <c r="H320" s="218">
        <f>AH17</f>
        <v>0</v>
      </c>
      <c r="I320" s="218"/>
      <c r="J320" s="218"/>
      <c r="K320" s="218"/>
      <c r="L320" s="232" t="str">
        <f>LOOKUP(G17,squad!$B$18:$B$59,squad!$G$18:$G$59)</f>
        <v> </v>
      </c>
      <c r="M320" s="226" t="s">
        <v>10</v>
      </c>
      <c r="N320" s="218">
        <f>AI17</f>
        <v>0</v>
      </c>
      <c r="O320" s="218"/>
      <c r="P320" s="218"/>
      <c r="Q320" s="218"/>
      <c r="R320" s="232" t="str">
        <f>LOOKUP(M17,squad!$B$18:$B$59,squad!$G$18:$G$59)</f>
        <v> </v>
      </c>
      <c r="S320" s="226" t="s">
        <v>10</v>
      </c>
      <c r="T320" s="218">
        <f>AJ17</f>
        <v>0</v>
      </c>
      <c r="U320" s="218"/>
      <c r="V320" s="218"/>
      <c r="W320" s="218"/>
      <c r="X320" s="232" t="str">
        <f>LOOKUP(S17,squad!$B$18:$B$59,squad!$G$18:$G$59)</f>
        <v> </v>
      </c>
      <c r="Y320" s="226" t="s">
        <v>10</v>
      </c>
      <c r="Z320" s="218">
        <f>AK17</f>
        <v>0</v>
      </c>
      <c r="AA320" s="218"/>
      <c r="AB320" s="218"/>
      <c r="AC320" s="218"/>
      <c r="AD320" s="232" t="str">
        <f>LOOKUP(Y17,squad!$B$18:$B$59,squad!$G$18:$G$59)</f>
        <v> </v>
      </c>
    </row>
    <row r="321" spans="1:30" ht="13.5" hidden="1" thickBot="1">
      <c r="A321" s="25" t="s">
        <v>11</v>
      </c>
      <c r="B321" s="1">
        <f aca="true" t="shared" si="118" ref="B321:B339">AG18</f>
        <v>0</v>
      </c>
      <c r="C321" s="1"/>
      <c r="D321" s="1"/>
      <c r="E321" s="1"/>
      <c r="F321" s="230" t="str">
        <f>LOOKUP(A18,squad!$B$18:$B$59,squad!$G$18:$G$59)</f>
        <v> </v>
      </c>
      <c r="G321" s="217" t="s">
        <v>11</v>
      </c>
      <c r="H321" s="217">
        <f aca="true" t="shared" si="119" ref="H321:H339">AH18</f>
        <v>0</v>
      </c>
      <c r="I321" s="217"/>
      <c r="J321" s="217"/>
      <c r="K321" s="217"/>
      <c r="L321" s="245" t="str">
        <f>LOOKUP(G18,squad!$B$18:$B$59,squad!$G$18:$G$59)</f>
        <v> </v>
      </c>
      <c r="M321" s="216" t="s">
        <v>11</v>
      </c>
      <c r="N321" s="217">
        <f aca="true" t="shared" si="120" ref="N321:N339">AI18</f>
        <v>0</v>
      </c>
      <c r="O321" s="217"/>
      <c r="P321" s="217"/>
      <c r="Q321" s="217"/>
      <c r="R321" s="245" t="str">
        <f>LOOKUP(M18,squad!$B$18:$B$59,squad!$G$18:$G$59)</f>
        <v> </v>
      </c>
      <c r="S321" s="216" t="s">
        <v>11</v>
      </c>
      <c r="T321" s="217">
        <f aca="true" t="shared" si="121" ref="T321:T339">AJ18</f>
        <v>0</v>
      </c>
      <c r="U321" s="217"/>
      <c r="V321" s="217"/>
      <c r="W321" s="217"/>
      <c r="X321" s="245" t="str">
        <f>LOOKUP(S18,squad!$B$18:$B$59,squad!$G$18:$G$59)</f>
        <v> </v>
      </c>
      <c r="Y321" s="216" t="s">
        <v>11</v>
      </c>
      <c r="Z321" s="217">
        <f aca="true" t="shared" si="122" ref="Z321:Z339">AK18</f>
        <v>0</v>
      </c>
      <c r="AA321" s="217"/>
      <c r="AB321" s="217"/>
      <c r="AC321" s="217"/>
      <c r="AD321" s="245" t="str">
        <f>LOOKUP(Y18,squad!$B$18:$B$59,squad!$G$18:$G$59)</f>
        <v> </v>
      </c>
    </row>
    <row r="322" spans="1:30" ht="12.75" hidden="1">
      <c r="A322" s="226" t="s">
        <v>12</v>
      </c>
      <c r="B322" s="218">
        <f t="shared" si="118"/>
        <v>0</v>
      </c>
      <c r="C322" s="218"/>
      <c r="D322" s="218"/>
      <c r="E322" s="218"/>
      <c r="F322" s="232" t="str">
        <f>LOOKUP(A19,squad!$B$18:$B$59,squad!$G$18:$G$59)</f>
        <v> </v>
      </c>
      <c r="G322" s="1" t="s">
        <v>12</v>
      </c>
      <c r="H322" s="1">
        <f t="shared" si="119"/>
        <v>0</v>
      </c>
      <c r="I322" s="1"/>
      <c r="J322" s="1"/>
      <c r="K322" s="1"/>
      <c r="L322" s="230" t="str">
        <f>LOOKUP(G19,squad!$B$18:$B$59,squad!$G$18:$G$59)</f>
        <v> </v>
      </c>
      <c r="M322" s="25" t="s">
        <v>12</v>
      </c>
      <c r="N322" s="1">
        <f t="shared" si="120"/>
        <v>0</v>
      </c>
      <c r="O322" s="1"/>
      <c r="P322" s="1"/>
      <c r="Q322" s="1"/>
      <c r="R322" s="230" t="str">
        <f>LOOKUP(M19,squad!$B$18:$B$59,squad!$G$18:$G$59)</f>
        <v> </v>
      </c>
      <c r="S322" s="25" t="s">
        <v>12</v>
      </c>
      <c r="T322" s="1">
        <f t="shared" si="121"/>
        <v>0</v>
      </c>
      <c r="U322" s="1"/>
      <c r="V322" s="1"/>
      <c r="W322" s="1"/>
      <c r="X322" s="230" t="str">
        <f>LOOKUP(S19,squad!$B$18:$B$59,squad!$G$18:$G$59)</f>
        <v> </v>
      </c>
      <c r="Y322" s="25" t="s">
        <v>12</v>
      </c>
      <c r="Z322" s="1">
        <f t="shared" si="122"/>
        <v>0</v>
      </c>
      <c r="AA322" s="1"/>
      <c r="AB322" s="1"/>
      <c r="AC322" s="1"/>
      <c r="AD322" s="230" t="str">
        <f>LOOKUP(Y19,squad!$B$18:$B$59,squad!$G$18:$G$59)</f>
        <v> </v>
      </c>
    </row>
    <row r="323" spans="1:30" ht="12.75" hidden="1">
      <c r="A323" s="25" t="s">
        <v>12</v>
      </c>
      <c r="B323" s="1">
        <f t="shared" si="118"/>
        <v>0</v>
      </c>
      <c r="C323" s="1"/>
      <c r="D323" s="1"/>
      <c r="E323" s="1"/>
      <c r="F323" s="230" t="str">
        <f>LOOKUP(A20,squad!$B$18:$B$59,squad!$G$18:$G$59)</f>
        <v> </v>
      </c>
      <c r="G323" s="1" t="s">
        <v>12</v>
      </c>
      <c r="H323" s="1">
        <f t="shared" si="119"/>
        <v>0</v>
      </c>
      <c r="I323" s="1"/>
      <c r="J323" s="1"/>
      <c r="K323" s="1"/>
      <c r="L323" s="230" t="str">
        <f>LOOKUP(G20,squad!$B$18:$B$59,squad!$G$18:$G$59)</f>
        <v> </v>
      </c>
      <c r="M323" s="25" t="s">
        <v>12</v>
      </c>
      <c r="N323" s="1">
        <f t="shared" si="120"/>
        <v>0</v>
      </c>
      <c r="O323" s="1"/>
      <c r="P323" s="1"/>
      <c r="Q323" s="1"/>
      <c r="R323" s="230" t="str">
        <f>LOOKUP(M20,squad!$B$18:$B$59,squad!$G$18:$G$59)</f>
        <v> </v>
      </c>
      <c r="S323" s="25" t="s">
        <v>12</v>
      </c>
      <c r="T323" s="1">
        <f t="shared" si="121"/>
        <v>0</v>
      </c>
      <c r="U323" s="1"/>
      <c r="V323" s="1"/>
      <c r="W323" s="1"/>
      <c r="X323" s="230" t="str">
        <f>LOOKUP(S20,squad!$B$18:$B$59,squad!$G$18:$G$59)</f>
        <v> </v>
      </c>
      <c r="Y323" s="25" t="s">
        <v>12</v>
      </c>
      <c r="Z323" s="1">
        <f t="shared" si="122"/>
        <v>0</v>
      </c>
      <c r="AA323" s="1"/>
      <c r="AB323" s="1"/>
      <c r="AC323" s="1"/>
      <c r="AD323" s="230" t="str">
        <f>LOOKUP(Y20,squad!$B$18:$B$59,squad!$G$18:$G$59)</f>
        <v> </v>
      </c>
    </row>
    <row r="324" spans="1:30" ht="12.75" hidden="1">
      <c r="A324" s="25" t="s">
        <v>12</v>
      </c>
      <c r="B324" s="1">
        <f t="shared" si="118"/>
        <v>0</v>
      </c>
      <c r="C324" s="1"/>
      <c r="D324" s="1"/>
      <c r="E324" s="1"/>
      <c r="F324" s="230" t="str">
        <f>LOOKUP(A21,squad!$B$18:$B$59,squad!$G$18:$G$59)</f>
        <v> </v>
      </c>
      <c r="G324" s="1" t="s">
        <v>12</v>
      </c>
      <c r="H324" s="1">
        <f t="shared" si="119"/>
        <v>0</v>
      </c>
      <c r="I324" s="1"/>
      <c r="J324" s="1"/>
      <c r="K324" s="1"/>
      <c r="L324" s="230" t="str">
        <f>LOOKUP(G21,squad!$B$18:$B$59,squad!$G$18:$G$59)</f>
        <v> </v>
      </c>
      <c r="M324" s="25" t="s">
        <v>12</v>
      </c>
      <c r="N324" s="1">
        <f t="shared" si="120"/>
        <v>0</v>
      </c>
      <c r="O324" s="1"/>
      <c r="P324" s="1"/>
      <c r="Q324" s="1"/>
      <c r="R324" s="230" t="str">
        <f>LOOKUP(M21,squad!$B$18:$B$59,squad!$G$18:$G$59)</f>
        <v> </v>
      </c>
      <c r="S324" s="25" t="s">
        <v>12</v>
      </c>
      <c r="T324" s="1">
        <f t="shared" si="121"/>
        <v>0</v>
      </c>
      <c r="U324" s="1"/>
      <c r="V324" s="1"/>
      <c r="W324" s="1"/>
      <c r="X324" s="230" t="str">
        <f>LOOKUP(S21,squad!$B$18:$B$59,squad!$G$18:$G$59)</f>
        <v> </v>
      </c>
      <c r="Y324" s="25" t="s">
        <v>12</v>
      </c>
      <c r="Z324" s="1">
        <f t="shared" si="122"/>
        <v>0</v>
      </c>
      <c r="AA324" s="1"/>
      <c r="AB324" s="1"/>
      <c r="AC324" s="1"/>
      <c r="AD324" s="230" t="str">
        <f>LOOKUP(Y21,squad!$B$18:$B$59,squad!$G$18:$G$59)</f>
        <v> </v>
      </c>
    </row>
    <row r="325" spans="1:30" ht="12.75" hidden="1">
      <c r="A325" s="25" t="s">
        <v>12</v>
      </c>
      <c r="B325" s="1">
        <f t="shared" si="118"/>
        <v>0</v>
      </c>
      <c r="C325" s="1"/>
      <c r="D325" s="1"/>
      <c r="E325" s="1"/>
      <c r="F325" s="230" t="str">
        <f>LOOKUP(A22,squad!$B$18:$B$59,squad!$G$18:$G$59)</f>
        <v> </v>
      </c>
      <c r="G325" s="1" t="s">
        <v>12</v>
      </c>
      <c r="H325" s="1">
        <f t="shared" si="119"/>
        <v>0</v>
      </c>
      <c r="I325" s="1"/>
      <c r="J325" s="1"/>
      <c r="K325" s="1"/>
      <c r="L325" s="230" t="str">
        <f>LOOKUP(G22,squad!$B$18:$B$59,squad!$G$18:$G$59)</f>
        <v> </v>
      </c>
      <c r="M325" s="25" t="s">
        <v>12</v>
      </c>
      <c r="N325" s="1">
        <f t="shared" si="120"/>
        <v>0</v>
      </c>
      <c r="O325" s="1"/>
      <c r="P325" s="1"/>
      <c r="Q325" s="1"/>
      <c r="R325" s="230" t="str">
        <f>LOOKUP(M22,squad!$B$18:$B$59,squad!$G$18:$G$59)</f>
        <v> </v>
      </c>
      <c r="S325" s="25" t="s">
        <v>12</v>
      </c>
      <c r="T325" s="1">
        <f t="shared" si="121"/>
        <v>0</v>
      </c>
      <c r="U325" s="1"/>
      <c r="V325" s="1"/>
      <c r="W325" s="1"/>
      <c r="X325" s="230" t="str">
        <f>LOOKUP(S22,squad!$B$18:$B$59,squad!$G$18:$G$59)</f>
        <v> </v>
      </c>
      <c r="Y325" s="25" t="s">
        <v>12</v>
      </c>
      <c r="Z325" s="1">
        <f t="shared" si="122"/>
        <v>0</v>
      </c>
      <c r="AA325" s="1"/>
      <c r="AB325" s="1"/>
      <c r="AC325" s="1"/>
      <c r="AD325" s="230" t="str">
        <f>LOOKUP(Y22,squad!$B$18:$B$59,squad!$G$18:$G$59)</f>
        <v> </v>
      </c>
    </row>
    <row r="326" spans="1:30" ht="12.75" hidden="1">
      <c r="A326" s="25" t="s">
        <v>12</v>
      </c>
      <c r="B326" s="1">
        <f t="shared" si="118"/>
        <v>0</v>
      </c>
      <c r="C326" s="1"/>
      <c r="D326" s="1"/>
      <c r="E326" s="1"/>
      <c r="F326" s="230" t="str">
        <f>LOOKUP(A23,squad!$B$18:$B$59,squad!$G$18:$G$59)</f>
        <v> </v>
      </c>
      <c r="G326" s="1" t="s">
        <v>12</v>
      </c>
      <c r="H326" s="1">
        <f t="shared" si="119"/>
        <v>0</v>
      </c>
      <c r="I326" s="1"/>
      <c r="J326" s="1"/>
      <c r="K326" s="1"/>
      <c r="L326" s="230" t="str">
        <f>LOOKUP(G23,squad!$B$18:$B$59,squad!$G$18:$G$59)</f>
        <v> </v>
      </c>
      <c r="M326" s="25" t="s">
        <v>12</v>
      </c>
      <c r="N326" s="1">
        <f t="shared" si="120"/>
        <v>0</v>
      </c>
      <c r="O326" s="1"/>
      <c r="P326" s="1"/>
      <c r="Q326" s="1"/>
      <c r="R326" s="230" t="str">
        <f>LOOKUP(M23,squad!$B$18:$B$59,squad!$G$18:$G$59)</f>
        <v> </v>
      </c>
      <c r="S326" s="25" t="s">
        <v>12</v>
      </c>
      <c r="T326" s="1">
        <f t="shared" si="121"/>
        <v>0</v>
      </c>
      <c r="U326" s="1"/>
      <c r="V326" s="1"/>
      <c r="W326" s="1"/>
      <c r="X326" s="230" t="str">
        <f>LOOKUP(S23,squad!$B$18:$B$59,squad!$G$18:$G$59)</f>
        <v> </v>
      </c>
      <c r="Y326" s="25" t="s">
        <v>12</v>
      </c>
      <c r="Z326" s="1">
        <f t="shared" si="122"/>
        <v>0</v>
      </c>
      <c r="AA326" s="1"/>
      <c r="AB326" s="1"/>
      <c r="AC326" s="1"/>
      <c r="AD326" s="230" t="str">
        <f>LOOKUP(Y23,squad!$B$18:$B$59,squad!$G$18:$G$59)</f>
        <v> </v>
      </c>
    </row>
    <row r="327" spans="1:30" ht="13.5" hidden="1" thickBot="1">
      <c r="A327" s="25" t="s">
        <v>12</v>
      </c>
      <c r="B327" s="1">
        <f t="shared" si="118"/>
        <v>0</v>
      </c>
      <c r="C327" s="1"/>
      <c r="D327" s="1"/>
      <c r="E327" s="1"/>
      <c r="F327" s="230" t="str">
        <f>LOOKUP(A24,squad!$B$18:$B$59,squad!$G$18:$G$59)</f>
        <v> </v>
      </c>
      <c r="G327" s="1" t="s">
        <v>12</v>
      </c>
      <c r="H327" s="1">
        <f t="shared" si="119"/>
        <v>0</v>
      </c>
      <c r="I327" s="1"/>
      <c r="J327" s="1"/>
      <c r="K327" s="1"/>
      <c r="L327" s="230" t="str">
        <f>LOOKUP(G24,squad!$B$18:$B$59,squad!$G$18:$G$59)</f>
        <v> </v>
      </c>
      <c r="M327" s="25" t="s">
        <v>12</v>
      </c>
      <c r="N327" s="1">
        <f t="shared" si="120"/>
        <v>0</v>
      </c>
      <c r="O327" s="1"/>
      <c r="P327" s="1"/>
      <c r="Q327" s="1"/>
      <c r="R327" s="230" t="str">
        <f>LOOKUP(M24,squad!$B$18:$B$59,squad!$G$18:$G$59)</f>
        <v> </v>
      </c>
      <c r="S327" s="25" t="s">
        <v>12</v>
      </c>
      <c r="T327" s="1">
        <f t="shared" si="121"/>
        <v>0</v>
      </c>
      <c r="U327" s="1"/>
      <c r="V327" s="1"/>
      <c r="W327" s="1"/>
      <c r="X327" s="230" t="str">
        <f>LOOKUP(S24,squad!$B$18:$B$59,squad!$G$18:$G$59)</f>
        <v> </v>
      </c>
      <c r="Y327" s="25" t="s">
        <v>12</v>
      </c>
      <c r="Z327" s="1">
        <f t="shared" si="122"/>
        <v>0</v>
      </c>
      <c r="AA327" s="1"/>
      <c r="AB327" s="1"/>
      <c r="AC327" s="1"/>
      <c r="AD327" s="230" t="str">
        <f>LOOKUP(Y24,squad!$B$18:$B$59,squad!$G$18:$G$59)</f>
        <v> </v>
      </c>
    </row>
    <row r="328" spans="1:30" ht="12.75" hidden="1">
      <c r="A328" s="226" t="s">
        <v>13</v>
      </c>
      <c r="B328" s="218">
        <f t="shared" si="118"/>
        <v>0</v>
      </c>
      <c r="C328" s="218">
        <f aca="true" t="shared" si="123" ref="C328:C333">IF($E$11="H",IF(B328="LK",F25,0),0)</f>
        <v>0</v>
      </c>
      <c r="D328" s="218"/>
      <c r="E328" s="218"/>
      <c r="F328" s="232" t="str">
        <f>LOOKUP(A25,squad!$B$18:$B$59,squad!$G$18:$G$59)</f>
        <v> </v>
      </c>
      <c r="G328" s="218" t="s">
        <v>13</v>
      </c>
      <c r="H328" s="218">
        <f t="shared" si="119"/>
        <v>0</v>
      </c>
      <c r="I328" s="218">
        <f aca="true" t="shared" si="124" ref="I328:I333">IF($K$11="H",IF(H328="LK",L25,0),0)</f>
        <v>0</v>
      </c>
      <c r="J328" s="218"/>
      <c r="K328" s="218"/>
      <c r="L328" s="232" t="str">
        <f>LOOKUP(G25,squad!$B$18:$B$59,squad!$G$18:$G$59)</f>
        <v> </v>
      </c>
      <c r="M328" s="218" t="s">
        <v>13</v>
      </c>
      <c r="N328" s="218">
        <f t="shared" si="120"/>
        <v>0</v>
      </c>
      <c r="O328" s="218">
        <f aca="true" t="shared" si="125" ref="O328:O333">IF($Q$11="H",IF(N328="LK",R25,0),0)</f>
        <v>0</v>
      </c>
      <c r="P328" s="218"/>
      <c r="Q328" s="218"/>
      <c r="R328" s="232" t="str">
        <f>LOOKUP(M25,squad!$B$18:$B$59,squad!$G$18:$G$59)</f>
        <v> </v>
      </c>
      <c r="S328" s="218" t="s">
        <v>13</v>
      </c>
      <c r="T328" s="218">
        <f t="shared" si="121"/>
        <v>0</v>
      </c>
      <c r="U328" s="218">
        <f aca="true" t="shared" si="126" ref="U328:U333">IF($W$11="H",IF(T328="LK",X25,0),0)</f>
        <v>0</v>
      </c>
      <c r="V328" s="218"/>
      <c r="W328" s="218"/>
      <c r="X328" s="232" t="str">
        <f>LOOKUP(S25,squad!$B$18:$B$59,squad!$G$18:$G$59)</f>
        <v> </v>
      </c>
      <c r="Y328" s="218" t="s">
        <v>13</v>
      </c>
      <c r="Z328" s="218">
        <f t="shared" si="122"/>
        <v>0</v>
      </c>
      <c r="AA328" s="218">
        <f aca="true" t="shared" si="127" ref="AA328:AA333">IF($AC$11="H",IF(Z328="LK",AD25,0),0)</f>
        <v>0</v>
      </c>
      <c r="AB328" s="218"/>
      <c r="AC328" s="218"/>
      <c r="AD328" s="232" t="str">
        <f>LOOKUP(Y25,squad!$B$18:$B$59,squad!$G$18:$G$59)</f>
        <v> </v>
      </c>
    </row>
    <row r="329" spans="1:30" ht="12.75" hidden="1">
      <c r="A329" s="25" t="s">
        <v>13</v>
      </c>
      <c r="B329" s="1">
        <f t="shared" si="118"/>
        <v>0</v>
      </c>
      <c r="C329" s="1">
        <f t="shared" si="123"/>
        <v>0</v>
      </c>
      <c r="D329" s="1"/>
      <c r="E329" s="1"/>
      <c r="F329" s="230" t="str">
        <f>LOOKUP(A26,squad!$B$18:$B$59,squad!$G$18:$G$59)</f>
        <v> </v>
      </c>
      <c r="G329" s="1" t="s">
        <v>13</v>
      </c>
      <c r="H329" s="1">
        <f t="shared" si="119"/>
        <v>0</v>
      </c>
      <c r="I329" s="1">
        <f t="shared" si="124"/>
        <v>0</v>
      </c>
      <c r="J329" s="1"/>
      <c r="K329" s="1"/>
      <c r="L329" s="230" t="str">
        <f>LOOKUP(G26,squad!$B$18:$B$59,squad!$G$18:$G$59)</f>
        <v> </v>
      </c>
      <c r="M329" s="1" t="s">
        <v>13</v>
      </c>
      <c r="N329" s="1">
        <f t="shared" si="120"/>
        <v>0</v>
      </c>
      <c r="O329" s="1">
        <f t="shared" si="125"/>
        <v>0</v>
      </c>
      <c r="P329" s="1"/>
      <c r="Q329" s="1"/>
      <c r="R329" s="230" t="str">
        <f>LOOKUP(M26,squad!$B$18:$B$59,squad!$G$18:$G$59)</f>
        <v> </v>
      </c>
      <c r="S329" s="1" t="s">
        <v>13</v>
      </c>
      <c r="T329" s="1">
        <f t="shared" si="121"/>
        <v>0</v>
      </c>
      <c r="U329" s="1">
        <f t="shared" si="126"/>
        <v>0</v>
      </c>
      <c r="V329" s="1"/>
      <c r="W329" s="1"/>
      <c r="X329" s="230" t="str">
        <f>LOOKUP(S26,squad!$B$18:$B$59,squad!$G$18:$G$59)</f>
        <v> </v>
      </c>
      <c r="Y329" s="1" t="s">
        <v>13</v>
      </c>
      <c r="Z329" s="1">
        <f t="shared" si="122"/>
        <v>0</v>
      </c>
      <c r="AA329" s="1">
        <f t="shared" si="127"/>
        <v>0</v>
      </c>
      <c r="AB329" s="1"/>
      <c r="AC329" s="1"/>
      <c r="AD329" s="230" t="str">
        <f>LOOKUP(Y26,squad!$B$18:$B$59,squad!$G$18:$G$59)</f>
        <v> </v>
      </c>
    </row>
    <row r="330" spans="1:30" ht="12.75" hidden="1">
      <c r="A330" s="25" t="s">
        <v>13</v>
      </c>
      <c r="B330" s="1">
        <f t="shared" si="118"/>
        <v>0</v>
      </c>
      <c r="C330" s="1">
        <f t="shared" si="123"/>
        <v>0</v>
      </c>
      <c r="D330" s="1"/>
      <c r="E330" s="1"/>
      <c r="F330" s="230" t="str">
        <f>LOOKUP(A27,squad!$B$18:$B$59,squad!$G$18:$G$59)</f>
        <v> </v>
      </c>
      <c r="G330" s="1" t="s">
        <v>13</v>
      </c>
      <c r="H330" s="1">
        <f t="shared" si="119"/>
        <v>0</v>
      </c>
      <c r="I330" s="1">
        <f t="shared" si="124"/>
        <v>0</v>
      </c>
      <c r="J330" s="1"/>
      <c r="K330" s="1"/>
      <c r="L330" s="230" t="str">
        <f>LOOKUP(G27,squad!$B$18:$B$59,squad!$G$18:$G$59)</f>
        <v> </v>
      </c>
      <c r="M330" s="1" t="s">
        <v>13</v>
      </c>
      <c r="N330" s="1">
        <f t="shared" si="120"/>
        <v>0</v>
      </c>
      <c r="O330" s="1">
        <f t="shared" si="125"/>
        <v>0</v>
      </c>
      <c r="P330" s="1"/>
      <c r="Q330" s="1"/>
      <c r="R330" s="230" t="str">
        <f>LOOKUP(M27,squad!$B$18:$B$59,squad!$G$18:$G$59)</f>
        <v> </v>
      </c>
      <c r="S330" s="1" t="s">
        <v>13</v>
      </c>
      <c r="T330" s="1">
        <f t="shared" si="121"/>
        <v>0</v>
      </c>
      <c r="U330" s="1">
        <f t="shared" si="126"/>
        <v>0</v>
      </c>
      <c r="V330" s="1"/>
      <c r="W330" s="1"/>
      <c r="X330" s="230" t="str">
        <f>LOOKUP(S27,squad!$B$18:$B$59,squad!$G$18:$G$59)</f>
        <v> </v>
      </c>
      <c r="Y330" s="1" t="s">
        <v>13</v>
      </c>
      <c r="Z330" s="1">
        <f t="shared" si="122"/>
        <v>0</v>
      </c>
      <c r="AA330" s="1">
        <f t="shared" si="127"/>
        <v>0</v>
      </c>
      <c r="AB330" s="1"/>
      <c r="AC330" s="1"/>
      <c r="AD330" s="230" t="str">
        <f>LOOKUP(Y27,squad!$B$18:$B$59,squad!$G$18:$G$59)</f>
        <v> </v>
      </c>
    </row>
    <row r="331" spans="1:30" ht="12.75" hidden="1">
      <c r="A331" s="25" t="s">
        <v>13</v>
      </c>
      <c r="B331" s="1">
        <f t="shared" si="118"/>
        <v>0</v>
      </c>
      <c r="C331" s="1">
        <f t="shared" si="123"/>
        <v>0</v>
      </c>
      <c r="D331" s="1"/>
      <c r="E331" s="1"/>
      <c r="F331" s="230" t="str">
        <f>LOOKUP(A28,squad!$B$18:$B$59,squad!$G$18:$G$59)</f>
        <v> </v>
      </c>
      <c r="G331" s="1" t="s">
        <v>13</v>
      </c>
      <c r="H331" s="1">
        <f t="shared" si="119"/>
        <v>0</v>
      </c>
      <c r="I331" s="1">
        <f t="shared" si="124"/>
        <v>0</v>
      </c>
      <c r="J331" s="1"/>
      <c r="K331" s="1"/>
      <c r="L331" s="230" t="str">
        <f>LOOKUP(G28,squad!$B$18:$B$59,squad!$G$18:$G$59)</f>
        <v> </v>
      </c>
      <c r="M331" s="1" t="s">
        <v>13</v>
      </c>
      <c r="N331" s="1">
        <f t="shared" si="120"/>
        <v>0</v>
      </c>
      <c r="O331" s="1">
        <f t="shared" si="125"/>
        <v>0</v>
      </c>
      <c r="P331" s="1"/>
      <c r="Q331" s="1"/>
      <c r="R331" s="230" t="str">
        <f>LOOKUP(M28,squad!$B$18:$B$59,squad!$G$18:$G$59)</f>
        <v> </v>
      </c>
      <c r="S331" s="1" t="s">
        <v>13</v>
      </c>
      <c r="T331" s="1">
        <f t="shared" si="121"/>
        <v>0</v>
      </c>
      <c r="U331" s="1">
        <f t="shared" si="126"/>
        <v>0</v>
      </c>
      <c r="V331" s="1"/>
      <c r="W331" s="1"/>
      <c r="X331" s="230" t="str">
        <f>LOOKUP(S28,squad!$B$18:$B$59,squad!$G$18:$G$59)</f>
        <v> </v>
      </c>
      <c r="Y331" s="1" t="s">
        <v>13</v>
      </c>
      <c r="Z331" s="1">
        <f t="shared" si="122"/>
        <v>0</v>
      </c>
      <c r="AA331" s="1">
        <f t="shared" si="127"/>
        <v>0</v>
      </c>
      <c r="AB331" s="1"/>
      <c r="AC331" s="1"/>
      <c r="AD331" s="230" t="str">
        <f>LOOKUP(Y28,squad!$B$18:$B$59,squad!$G$18:$G$59)</f>
        <v> </v>
      </c>
    </row>
    <row r="332" spans="1:30" ht="12.75" hidden="1">
      <c r="A332" s="25" t="s">
        <v>13</v>
      </c>
      <c r="B332" s="1">
        <f t="shared" si="118"/>
        <v>0</v>
      </c>
      <c r="C332" s="1">
        <f t="shared" si="123"/>
        <v>0</v>
      </c>
      <c r="D332" s="1"/>
      <c r="E332" s="1"/>
      <c r="F332" s="230" t="str">
        <f>LOOKUP(A29,squad!$B$18:$B$59,squad!$G$18:$G$59)</f>
        <v> </v>
      </c>
      <c r="G332" s="1" t="s">
        <v>13</v>
      </c>
      <c r="H332" s="1">
        <f t="shared" si="119"/>
        <v>0</v>
      </c>
      <c r="I332" s="1">
        <f t="shared" si="124"/>
        <v>0</v>
      </c>
      <c r="J332" s="1"/>
      <c r="K332" s="1"/>
      <c r="L332" s="230" t="str">
        <f>LOOKUP(G29,squad!$B$18:$B$59,squad!$G$18:$G$59)</f>
        <v> </v>
      </c>
      <c r="M332" s="1" t="s">
        <v>13</v>
      </c>
      <c r="N332" s="1">
        <f t="shared" si="120"/>
        <v>0</v>
      </c>
      <c r="O332" s="1">
        <f t="shared" si="125"/>
        <v>0</v>
      </c>
      <c r="P332" s="1"/>
      <c r="Q332" s="1"/>
      <c r="R332" s="230" t="str">
        <f>LOOKUP(M29,squad!$B$18:$B$59,squad!$G$18:$G$59)</f>
        <v> </v>
      </c>
      <c r="S332" s="1" t="s">
        <v>13</v>
      </c>
      <c r="T332" s="1">
        <f t="shared" si="121"/>
        <v>0</v>
      </c>
      <c r="U332" s="1">
        <f t="shared" si="126"/>
        <v>0</v>
      </c>
      <c r="V332" s="1"/>
      <c r="W332" s="1"/>
      <c r="X332" s="230" t="str">
        <f>LOOKUP(S29,squad!$B$18:$B$59,squad!$G$18:$G$59)</f>
        <v> </v>
      </c>
      <c r="Y332" s="1" t="s">
        <v>13</v>
      </c>
      <c r="Z332" s="1">
        <f t="shared" si="122"/>
        <v>0</v>
      </c>
      <c r="AA332" s="1">
        <f t="shared" si="127"/>
        <v>0</v>
      </c>
      <c r="AB332" s="1"/>
      <c r="AC332" s="1"/>
      <c r="AD332" s="230" t="str">
        <f>LOOKUP(Y29,squad!$B$18:$B$59,squad!$G$18:$G$59)</f>
        <v> </v>
      </c>
    </row>
    <row r="333" spans="1:30" ht="13.5" hidden="1" thickBot="1">
      <c r="A333" s="221" t="s">
        <v>13</v>
      </c>
      <c r="B333" s="26">
        <f t="shared" si="118"/>
        <v>0</v>
      </c>
      <c r="C333" s="26">
        <f t="shared" si="123"/>
        <v>0</v>
      </c>
      <c r="D333" s="26"/>
      <c r="E333" s="26"/>
      <c r="F333" s="231" t="str">
        <f>LOOKUP(A30,squad!$B$18:$B$59,squad!$G$18:$G$59)</f>
        <v> </v>
      </c>
      <c r="G333" s="26" t="s">
        <v>13</v>
      </c>
      <c r="H333" s="26">
        <f t="shared" si="119"/>
        <v>0</v>
      </c>
      <c r="I333" s="26">
        <f t="shared" si="124"/>
        <v>0</v>
      </c>
      <c r="J333" s="26"/>
      <c r="K333" s="26"/>
      <c r="L333" s="231" t="str">
        <f>LOOKUP(G30,squad!$B$18:$B$59,squad!$G$18:$G$59)</f>
        <v> </v>
      </c>
      <c r="M333" s="26" t="s">
        <v>13</v>
      </c>
      <c r="N333" s="26">
        <f t="shared" si="120"/>
        <v>0</v>
      </c>
      <c r="O333" s="26">
        <f t="shared" si="125"/>
        <v>0</v>
      </c>
      <c r="P333" s="26"/>
      <c r="Q333" s="26"/>
      <c r="R333" s="231" t="str">
        <f>LOOKUP(M30,squad!$B$18:$B$59,squad!$G$18:$G$59)</f>
        <v> </v>
      </c>
      <c r="S333" s="26" t="s">
        <v>13</v>
      </c>
      <c r="T333" s="26">
        <f t="shared" si="121"/>
        <v>0</v>
      </c>
      <c r="U333" s="26">
        <f t="shared" si="126"/>
        <v>0</v>
      </c>
      <c r="V333" s="26"/>
      <c r="W333" s="26"/>
      <c r="X333" s="231" t="str">
        <f>LOOKUP(S30,squad!$B$18:$B$59,squad!$G$18:$G$59)</f>
        <v> </v>
      </c>
      <c r="Y333" s="26" t="s">
        <v>13</v>
      </c>
      <c r="Z333" s="26">
        <f t="shared" si="122"/>
        <v>0</v>
      </c>
      <c r="AA333" s="26">
        <f t="shared" si="127"/>
        <v>0</v>
      </c>
      <c r="AB333" s="26"/>
      <c r="AC333" s="26"/>
      <c r="AD333" s="231" t="str">
        <f>LOOKUP(Y30,squad!$B$18:$B$59,squad!$G$18:$G$59)</f>
        <v> </v>
      </c>
    </row>
    <row r="334" spans="1:30" ht="12.75" hidden="1">
      <c r="A334" s="25" t="s">
        <v>14</v>
      </c>
      <c r="B334" s="1">
        <f t="shared" si="118"/>
        <v>0</v>
      </c>
      <c r="C334" s="1"/>
      <c r="D334" s="1"/>
      <c r="E334" s="1"/>
      <c r="F334" s="230" t="str">
        <f>LOOKUP(A31,squad!$B$18:$B$59,squad!$G$18:$G$59)</f>
        <v> </v>
      </c>
      <c r="G334" s="1" t="s">
        <v>14</v>
      </c>
      <c r="H334" s="1">
        <f t="shared" si="119"/>
        <v>0</v>
      </c>
      <c r="I334" s="1"/>
      <c r="J334" s="1"/>
      <c r="K334" s="1"/>
      <c r="L334" s="230" t="str">
        <f>LOOKUP(G31,squad!$B$18:$B$59,squad!$G$18:$G$59)</f>
        <v> </v>
      </c>
      <c r="M334" s="25" t="s">
        <v>14</v>
      </c>
      <c r="N334" s="1">
        <f t="shared" si="120"/>
        <v>0</v>
      </c>
      <c r="O334" s="1"/>
      <c r="P334" s="1"/>
      <c r="Q334" s="1"/>
      <c r="R334" s="230" t="str">
        <f>LOOKUP(M31,squad!$B$18:$B$59,squad!$G$18:$G$59)</f>
        <v> </v>
      </c>
      <c r="S334" s="25" t="s">
        <v>14</v>
      </c>
      <c r="T334" s="1">
        <f t="shared" si="121"/>
        <v>0</v>
      </c>
      <c r="U334" s="1"/>
      <c r="V334" s="1"/>
      <c r="W334" s="1"/>
      <c r="X334" s="230" t="str">
        <f>LOOKUP(S31,squad!$B$18:$B$59,squad!$G$18:$G$59)</f>
        <v> </v>
      </c>
      <c r="Y334" s="25" t="s">
        <v>14</v>
      </c>
      <c r="Z334" s="1">
        <f t="shared" si="122"/>
        <v>0</v>
      </c>
      <c r="AA334" s="1"/>
      <c r="AB334" s="1"/>
      <c r="AC334" s="1"/>
      <c r="AD334" s="230" t="str">
        <f>LOOKUP(Y31,squad!$B$18:$B$59,squad!$G$18:$G$59)</f>
        <v> </v>
      </c>
    </row>
    <row r="335" spans="1:30" ht="12.75" hidden="1">
      <c r="A335" s="25" t="s">
        <v>14</v>
      </c>
      <c r="B335" s="1">
        <f t="shared" si="118"/>
        <v>0</v>
      </c>
      <c r="C335" s="1"/>
      <c r="D335" s="1"/>
      <c r="E335" s="1"/>
      <c r="F335" s="230" t="str">
        <f>LOOKUP(A32,squad!$B$18:$B$59,squad!$G$18:$G$59)</f>
        <v> </v>
      </c>
      <c r="G335" s="1" t="s">
        <v>14</v>
      </c>
      <c r="H335" s="1">
        <f t="shared" si="119"/>
        <v>0</v>
      </c>
      <c r="I335" s="1"/>
      <c r="J335" s="1"/>
      <c r="K335" s="1"/>
      <c r="L335" s="230" t="str">
        <f>LOOKUP(G32,squad!$B$18:$B$59,squad!$G$18:$G$59)</f>
        <v> </v>
      </c>
      <c r="M335" s="25" t="s">
        <v>14</v>
      </c>
      <c r="N335" s="1">
        <f t="shared" si="120"/>
        <v>0</v>
      </c>
      <c r="O335" s="1"/>
      <c r="P335" s="1"/>
      <c r="Q335" s="1"/>
      <c r="R335" s="230" t="str">
        <f>LOOKUP(M32,squad!$B$18:$B$59,squad!$G$18:$G$59)</f>
        <v> </v>
      </c>
      <c r="S335" s="25" t="s">
        <v>14</v>
      </c>
      <c r="T335" s="1">
        <f t="shared" si="121"/>
        <v>0</v>
      </c>
      <c r="U335" s="1"/>
      <c r="V335" s="1"/>
      <c r="W335" s="1"/>
      <c r="X335" s="230" t="str">
        <f>LOOKUP(S32,squad!$B$18:$B$59,squad!$G$18:$G$59)</f>
        <v> </v>
      </c>
      <c r="Y335" s="25" t="s">
        <v>14</v>
      </c>
      <c r="Z335" s="1">
        <f t="shared" si="122"/>
        <v>0</v>
      </c>
      <c r="AA335" s="1"/>
      <c r="AB335" s="1"/>
      <c r="AC335" s="1"/>
      <c r="AD335" s="230" t="str">
        <f>LOOKUP(Y32,squad!$B$18:$B$59,squad!$G$18:$G$59)</f>
        <v> </v>
      </c>
    </row>
    <row r="336" spans="1:30" ht="12.75" hidden="1">
      <c r="A336" s="25" t="s">
        <v>14</v>
      </c>
      <c r="B336" s="1">
        <f t="shared" si="118"/>
        <v>0</v>
      </c>
      <c r="C336" s="1"/>
      <c r="D336" s="1"/>
      <c r="E336" s="1"/>
      <c r="F336" s="230" t="str">
        <f>LOOKUP(A33,squad!$B$18:$B$59,squad!$G$18:$G$59)</f>
        <v> </v>
      </c>
      <c r="G336" s="1" t="s">
        <v>14</v>
      </c>
      <c r="H336" s="1">
        <f t="shared" si="119"/>
        <v>0</v>
      </c>
      <c r="I336" s="1"/>
      <c r="J336" s="1"/>
      <c r="K336" s="1"/>
      <c r="L336" s="230" t="str">
        <f>LOOKUP(G33,squad!$B$18:$B$59,squad!$G$18:$G$59)</f>
        <v> </v>
      </c>
      <c r="M336" s="25" t="s">
        <v>14</v>
      </c>
      <c r="N336" s="1">
        <f t="shared" si="120"/>
        <v>0</v>
      </c>
      <c r="O336" s="1"/>
      <c r="P336" s="1"/>
      <c r="Q336" s="1"/>
      <c r="R336" s="230" t="str">
        <f>LOOKUP(M33,squad!$B$18:$B$59,squad!$G$18:$G$59)</f>
        <v> </v>
      </c>
      <c r="S336" s="25" t="s">
        <v>14</v>
      </c>
      <c r="T336" s="1">
        <f t="shared" si="121"/>
        <v>0</v>
      </c>
      <c r="U336" s="1"/>
      <c r="V336" s="1"/>
      <c r="W336" s="1"/>
      <c r="X336" s="230" t="str">
        <f>LOOKUP(S33,squad!$B$18:$B$59,squad!$G$18:$G$59)</f>
        <v> </v>
      </c>
      <c r="Y336" s="25" t="s">
        <v>14</v>
      </c>
      <c r="Z336" s="1">
        <f t="shared" si="122"/>
        <v>0</v>
      </c>
      <c r="AA336" s="1"/>
      <c r="AB336" s="1"/>
      <c r="AC336" s="1"/>
      <c r="AD336" s="230" t="str">
        <f>LOOKUP(Y33,squad!$B$18:$B$59,squad!$G$18:$G$59)</f>
        <v> </v>
      </c>
    </row>
    <row r="337" spans="1:30" ht="12.75" hidden="1">
      <c r="A337" s="25" t="s">
        <v>14</v>
      </c>
      <c r="B337" s="1">
        <f t="shared" si="118"/>
        <v>0</v>
      </c>
      <c r="C337" s="1"/>
      <c r="D337" s="1"/>
      <c r="E337" s="1"/>
      <c r="F337" s="230" t="str">
        <f>LOOKUP(A34,squad!$B$18:$B$59,squad!$G$18:$G$59)</f>
        <v> </v>
      </c>
      <c r="G337" s="1" t="s">
        <v>14</v>
      </c>
      <c r="H337" s="1">
        <f t="shared" si="119"/>
        <v>0</v>
      </c>
      <c r="I337" s="1"/>
      <c r="J337" s="1"/>
      <c r="K337" s="1"/>
      <c r="L337" s="230" t="str">
        <f>LOOKUP(G34,squad!$B$18:$B$59,squad!$G$18:$G$59)</f>
        <v> </v>
      </c>
      <c r="M337" s="25" t="s">
        <v>14</v>
      </c>
      <c r="N337" s="1">
        <f t="shared" si="120"/>
        <v>0</v>
      </c>
      <c r="O337" s="1"/>
      <c r="P337" s="1"/>
      <c r="Q337" s="1"/>
      <c r="R337" s="230" t="str">
        <f>LOOKUP(M34,squad!$B$18:$B$59,squad!$G$18:$G$59)</f>
        <v> </v>
      </c>
      <c r="S337" s="25" t="s">
        <v>14</v>
      </c>
      <c r="T337" s="1">
        <f t="shared" si="121"/>
        <v>0</v>
      </c>
      <c r="U337" s="1"/>
      <c r="V337" s="1"/>
      <c r="W337" s="1"/>
      <c r="X337" s="230" t="str">
        <f>LOOKUP(S34,squad!$B$18:$B$59,squad!$G$18:$G$59)</f>
        <v> </v>
      </c>
      <c r="Y337" s="25" t="s">
        <v>14</v>
      </c>
      <c r="Z337" s="1">
        <f t="shared" si="122"/>
        <v>0</v>
      </c>
      <c r="AA337" s="1"/>
      <c r="AB337" s="1"/>
      <c r="AC337" s="1"/>
      <c r="AD337" s="230" t="str">
        <f>LOOKUP(Y34,squad!$B$18:$B$59,squad!$G$18:$G$59)</f>
        <v> </v>
      </c>
    </row>
    <row r="338" spans="1:30" ht="12.75" hidden="1">
      <c r="A338" s="25" t="s">
        <v>14</v>
      </c>
      <c r="B338" s="1">
        <f t="shared" si="118"/>
        <v>0</v>
      </c>
      <c r="C338" s="1"/>
      <c r="D338" s="1"/>
      <c r="E338" s="1"/>
      <c r="F338" s="230" t="str">
        <f>LOOKUP(A35,squad!$B$18:$B$59,squad!$G$18:$G$59)</f>
        <v> </v>
      </c>
      <c r="G338" s="1" t="s">
        <v>14</v>
      </c>
      <c r="H338" s="1">
        <f t="shared" si="119"/>
        <v>0</v>
      </c>
      <c r="I338" s="1"/>
      <c r="J338" s="1"/>
      <c r="K338" s="1"/>
      <c r="L338" s="230" t="str">
        <f>LOOKUP(G35,squad!$B$18:$B$59,squad!$G$18:$G$59)</f>
        <v> </v>
      </c>
      <c r="M338" s="25" t="s">
        <v>14</v>
      </c>
      <c r="N338" s="1">
        <f t="shared" si="120"/>
        <v>0</v>
      </c>
      <c r="O338" s="1"/>
      <c r="P338" s="1"/>
      <c r="Q338" s="1"/>
      <c r="R338" s="230" t="str">
        <f>LOOKUP(M35,squad!$B$18:$B$59,squad!$G$18:$G$59)</f>
        <v> </v>
      </c>
      <c r="S338" s="25" t="s">
        <v>14</v>
      </c>
      <c r="T338" s="1">
        <f t="shared" si="121"/>
        <v>0</v>
      </c>
      <c r="U338" s="1"/>
      <c r="V338" s="1"/>
      <c r="W338" s="1"/>
      <c r="X338" s="230" t="str">
        <f>LOOKUP(S35,squad!$B$18:$B$59,squad!$G$18:$G$59)</f>
        <v> </v>
      </c>
      <c r="Y338" s="25" t="s">
        <v>14</v>
      </c>
      <c r="Z338" s="1">
        <f t="shared" si="122"/>
        <v>0</v>
      </c>
      <c r="AA338" s="1"/>
      <c r="AB338" s="1"/>
      <c r="AC338" s="1"/>
      <c r="AD338" s="230" t="str">
        <f>LOOKUP(Y35,squad!$B$18:$B$59,squad!$G$18:$G$59)</f>
        <v> </v>
      </c>
    </row>
    <row r="339" spans="1:30" ht="13.5" hidden="1" thickBot="1">
      <c r="A339" s="221" t="s">
        <v>14</v>
      </c>
      <c r="B339" s="26">
        <f t="shared" si="118"/>
        <v>0</v>
      </c>
      <c r="C339" s="26"/>
      <c r="D339" s="26"/>
      <c r="E339" s="26"/>
      <c r="F339" s="231" t="str">
        <f>LOOKUP(A36,squad!$B$18:$B$59,squad!$G$18:$G$59)</f>
        <v> </v>
      </c>
      <c r="G339" s="26" t="s">
        <v>14</v>
      </c>
      <c r="H339" s="26">
        <f t="shared" si="119"/>
        <v>0</v>
      </c>
      <c r="I339" s="26"/>
      <c r="J339" s="26"/>
      <c r="K339" s="26"/>
      <c r="L339" s="231" t="str">
        <f>LOOKUP(G36,squad!$B$18:$B$59,squad!$G$18:$G$59)</f>
        <v> </v>
      </c>
      <c r="M339" s="221" t="s">
        <v>14</v>
      </c>
      <c r="N339" s="26">
        <f t="shared" si="120"/>
        <v>0</v>
      </c>
      <c r="O339" s="26"/>
      <c r="P339" s="26"/>
      <c r="Q339" s="26"/>
      <c r="R339" s="231" t="str">
        <f>LOOKUP(M36,squad!$B$18:$B$59,squad!$G$18:$G$59)</f>
        <v> </v>
      </c>
      <c r="S339" s="221" t="s">
        <v>14</v>
      </c>
      <c r="T339" s="26">
        <f t="shared" si="121"/>
        <v>0</v>
      </c>
      <c r="U339" s="26"/>
      <c r="V339" s="26"/>
      <c r="W339" s="26"/>
      <c r="X339" s="231" t="str">
        <f>LOOKUP(S36,squad!$B$18:$B$59,squad!$G$18:$G$59)</f>
        <v> </v>
      </c>
      <c r="Y339" s="221" t="s">
        <v>14</v>
      </c>
      <c r="Z339" s="26">
        <f t="shared" si="122"/>
        <v>0</v>
      </c>
      <c r="AA339" s="26"/>
      <c r="AB339" s="26"/>
      <c r="AC339" s="26"/>
      <c r="AD339" s="231" t="str">
        <f>LOOKUP(Y36,squad!$B$18:$B$59,squad!$G$18:$G$59)</f>
        <v> </v>
      </c>
    </row>
    <row r="340" spans="1:30" ht="12.75" hidden="1">
      <c r="A340" s="222" t="s">
        <v>293</v>
      </c>
      <c r="B340" s="223"/>
      <c r="C340" s="223"/>
      <c r="D340" s="223"/>
      <c r="E340" s="223"/>
      <c r="F340" s="224"/>
      <c r="G340" s="222" t="s">
        <v>293</v>
      </c>
      <c r="H340" s="223"/>
      <c r="I340" s="223"/>
      <c r="J340" s="223"/>
      <c r="K340" s="223"/>
      <c r="L340" s="224"/>
      <c r="M340" s="222" t="s">
        <v>293</v>
      </c>
      <c r="N340" s="223"/>
      <c r="O340" s="223"/>
      <c r="P340" s="223"/>
      <c r="Q340" s="223"/>
      <c r="R340" s="224"/>
      <c r="S340" s="222" t="s">
        <v>293</v>
      </c>
      <c r="T340" s="223"/>
      <c r="U340" s="223"/>
      <c r="V340" s="223"/>
      <c r="W340" s="223"/>
      <c r="X340" s="224"/>
      <c r="Y340" s="222" t="s">
        <v>293</v>
      </c>
      <c r="Z340" s="223"/>
      <c r="AA340" s="223"/>
      <c r="AB340" s="223"/>
      <c r="AC340" s="223"/>
      <c r="AD340" s="227"/>
    </row>
    <row r="341" spans="1:30" ht="13.5" hidden="1" thickBot="1">
      <c r="A341" s="160"/>
      <c r="B341" s="161" t="s">
        <v>287</v>
      </c>
      <c r="C341" s="161"/>
      <c r="D341" s="161"/>
      <c r="E341" s="161"/>
      <c r="F341" s="225"/>
      <c r="G341" s="160"/>
      <c r="H341" s="161" t="s">
        <v>287</v>
      </c>
      <c r="I341" s="161"/>
      <c r="J341" s="161"/>
      <c r="K341" s="161"/>
      <c r="L341" s="225"/>
      <c r="M341" s="160"/>
      <c r="N341" s="161" t="s">
        <v>287</v>
      </c>
      <c r="O341" s="161"/>
      <c r="P341" s="161"/>
      <c r="Q341" s="161"/>
      <c r="R341" s="225"/>
      <c r="S341" s="160"/>
      <c r="T341" s="161" t="s">
        <v>287</v>
      </c>
      <c r="U341" s="161"/>
      <c r="V341" s="161"/>
      <c r="W341" s="161"/>
      <c r="X341" s="225"/>
      <c r="Y341" s="160"/>
      <c r="Z341" s="161" t="s">
        <v>287</v>
      </c>
      <c r="AA341" s="161"/>
      <c r="AB341" s="161"/>
      <c r="AC341" s="161"/>
      <c r="AD341" s="225"/>
    </row>
    <row r="342" spans="1:30" ht="13.5" hidden="1" thickBot="1">
      <c r="A342" s="25" t="s">
        <v>10</v>
      </c>
      <c r="B342" s="1">
        <f>AG17</f>
        <v>0</v>
      </c>
      <c r="C342" s="1"/>
      <c r="D342" s="1"/>
      <c r="E342" s="1"/>
      <c r="F342" s="232" t="str">
        <f>LOOKUP(A17,squad!$B$18:$B$59,squad!$G$18:$G$59)</f>
        <v> </v>
      </c>
      <c r="G342" s="226" t="s">
        <v>10</v>
      </c>
      <c r="H342" s="218">
        <f>AH17</f>
        <v>0</v>
      </c>
      <c r="I342" s="218"/>
      <c r="J342" s="218"/>
      <c r="K342" s="218"/>
      <c r="L342" s="232" t="str">
        <f>LOOKUP(G17,squad!$B$18:$B$59,squad!$G$18:$G$59)</f>
        <v> </v>
      </c>
      <c r="M342" s="226" t="s">
        <v>10</v>
      </c>
      <c r="N342" s="218">
        <f>AI17</f>
        <v>0</v>
      </c>
      <c r="O342" s="218"/>
      <c r="P342" s="218"/>
      <c r="Q342" s="218"/>
      <c r="R342" s="232" t="str">
        <f>LOOKUP(M17,squad!$B$18:$B$59,squad!$G$18:$G$59)</f>
        <v> </v>
      </c>
      <c r="S342" s="226" t="s">
        <v>10</v>
      </c>
      <c r="T342" s="218">
        <f>AJ17</f>
        <v>0</v>
      </c>
      <c r="U342" s="218"/>
      <c r="V342" s="218"/>
      <c r="W342" s="218"/>
      <c r="X342" s="232" t="str">
        <f>LOOKUP(S17,squad!$B$18:$B$59,squad!$G$18:$G$59)</f>
        <v> </v>
      </c>
      <c r="Y342" s="226" t="s">
        <v>10</v>
      </c>
      <c r="Z342" s="218">
        <f>AK17</f>
        <v>0</v>
      </c>
      <c r="AA342" s="218"/>
      <c r="AB342" s="218"/>
      <c r="AC342" s="218"/>
      <c r="AD342" s="232" t="str">
        <f>LOOKUP(Y17,squad!$B$18:$B$59,squad!$G$18:$G$59)</f>
        <v> </v>
      </c>
    </row>
    <row r="343" spans="1:30" ht="13.5" hidden="1" thickBot="1">
      <c r="A343" s="216" t="s">
        <v>11</v>
      </c>
      <c r="B343" s="217">
        <f aca="true" t="shared" si="128" ref="B343:B361">AG18</f>
        <v>0</v>
      </c>
      <c r="C343" s="217"/>
      <c r="D343" s="217"/>
      <c r="E343" s="217"/>
      <c r="F343" s="245" t="str">
        <f>LOOKUP(A18,squad!$B$18:$B$59,squad!$G$18:$G$59)</f>
        <v> </v>
      </c>
      <c r="G343" s="216" t="s">
        <v>11</v>
      </c>
      <c r="H343" s="217">
        <f aca="true" t="shared" si="129" ref="H343:H361">AH18</f>
        <v>0</v>
      </c>
      <c r="I343" s="217"/>
      <c r="J343" s="217"/>
      <c r="K343" s="217"/>
      <c r="L343" s="245" t="str">
        <f>LOOKUP(G18,squad!$B$18:$B$59,squad!$G$18:$G$59)</f>
        <v> </v>
      </c>
      <c r="M343" s="216" t="s">
        <v>11</v>
      </c>
      <c r="N343" s="217">
        <f aca="true" t="shared" si="130" ref="N343:N361">AI18</f>
        <v>0</v>
      </c>
      <c r="O343" s="217"/>
      <c r="P343" s="217"/>
      <c r="Q343" s="217"/>
      <c r="R343" s="245" t="str">
        <f>LOOKUP(M18,squad!$B$18:$B$59,squad!$G$18:$G$59)</f>
        <v> </v>
      </c>
      <c r="S343" s="216" t="s">
        <v>11</v>
      </c>
      <c r="T343" s="217">
        <f aca="true" t="shared" si="131" ref="T343:T361">AJ18</f>
        <v>0</v>
      </c>
      <c r="U343" s="217"/>
      <c r="V343" s="217"/>
      <c r="W343" s="217"/>
      <c r="X343" s="245" t="str">
        <f>LOOKUP(S18,squad!$B$18:$B$59,squad!$G$18:$G$59)</f>
        <v> </v>
      </c>
      <c r="Y343" s="216" t="s">
        <v>11</v>
      </c>
      <c r="Z343" s="217">
        <f aca="true" t="shared" si="132" ref="Z343:Z361">AK18</f>
        <v>0</v>
      </c>
      <c r="AA343" s="217"/>
      <c r="AB343" s="217"/>
      <c r="AC343" s="217"/>
      <c r="AD343" s="245" t="str">
        <f>LOOKUP(Y18,squad!$B$18:$B$59,squad!$G$18:$G$59)</f>
        <v> </v>
      </c>
    </row>
    <row r="344" spans="1:30" ht="12.75" hidden="1">
      <c r="A344" s="25" t="s">
        <v>12</v>
      </c>
      <c r="B344" s="1">
        <f t="shared" si="128"/>
        <v>0</v>
      </c>
      <c r="C344" s="1"/>
      <c r="D344" s="1"/>
      <c r="E344" s="1"/>
      <c r="F344" s="230" t="str">
        <f>LOOKUP(A19,squad!$B$18:$B$59,squad!$G$18:$G$59)</f>
        <v> </v>
      </c>
      <c r="G344" s="25" t="s">
        <v>12</v>
      </c>
      <c r="H344" s="1">
        <f t="shared" si="129"/>
        <v>0</v>
      </c>
      <c r="I344" s="1"/>
      <c r="J344" s="1"/>
      <c r="K344" s="1"/>
      <c r="L344" s="230" t="str">
        <f>LOOKUP(G19,squad!$B$18:$B$59,squad!$G$18:$G$59)</f>
        <v> </v>
      </c>
      <c r="M344" s="25" t="s">
        <v>12</v>
      </c>
      <c r="N344" s="1">
        <f t="shared" si="130"/>
        <v>0</v>
      </c>
      <c r="O344" s="1"/>
      <c r="P344" s="1"/>
      <c r="Q344" s="1"/>
      <c r="R344" s="230" t="str">
        <f>LOOKUP(M19,squad!$B$18:$B$59,squad!$G$18:$G$59)</f>
        <v> </v>
      </c>
      <c r="S344" s="25" t="s">
        <v>12</v>
      </c>
      <c r="T344" s="1">
        <f t="shared" si="131"/>
        <v>0</v>
      </c>
      <c r="U344" s="1"/>
      <c r="V344" s="1"/>
      <c r="W344" s="1"/>
      <c r="X344" s="230" t="str">
        <f>LOOKUP(S19,squad!$B$18:$B$59,squad!$G$18:$G$59)</f>
        <v> </v>
      </c>
      <c r="Y344" s="25" t="s">
        <v>12</v>
      </c>
      <c r="Z344" s="1">
        <f t="shared" si="132"/>
        <v>0</v>
      </c>
      <c r="AA344" s="1"/>
      <c r="AB344" s="1"/>
      <c r="AC344" s="1"/>
      <c r="AD344" s="230" t="str">
        <f>LOOKUP(Y19,squad!$B$18:$B$59,squad!$G$18:$G$59)</f>
        <v> </v>
      </c>
    </row>
    <row r="345" spans="1:30" ht="12.75" hidden="1">
      <c r="A345" s="25" t="s">
        <v>12</v>
      </c>
      <c r="B345" s="1">
        <f t="shared" si="128"/>
        <v>0</v>
      </c>
      <c r="C345" s="1"/>
      <c r="D345" s="1"/>
      <c r="E345" s="1"/>
      <c r="F345" s="230" t="str">
        <f>LOOKUP(A20,squad!$B$18:$B$59,squad!$G$18:$G$59)</f>
        <v> </v>
      </c>
      <c r="G345" s="25" t="s">
        <v>12</v>
      </c>
      <c r="H345" s="1">
        <f t="shared" si="129"/>
        <v>0</v>
      </c>
      <c r="I345" s="1"/>
      <c r="J345" s="1"/>
      <c r="K345" s="1"/>
      <c r="L345" s="230" t="str">
        <f>LOOKUP(G20,squad!$B$18:$B$59,squad!$G$18:$G$59)</f>
        <v> </v>
      </c>
      <c r="M345" s="25" t="s">
        <v>12</v>
      </c>
      <c r="N345" s="1">
        <f t="shared" si="130"/>
        <v>0</v>
      </c>
      <c r="O345" s="1"/>
      <c r="P345" s="1"/>
      <c r="Q345" s="1"/>
      <c r="R345" s="230" t="str">
        <f>LOOKUP(M20,squad!$B$18:$B$59,squad!$G$18:$G$59)</f>
        <v> </v>
      </c>
      <c r="S345" s="25" t="s">
        <v>12</v>
      </c>
      <c r="T345" s="1">
        <f t="shared" si="131"/>
        <v>0</v>
      </c>
      <c r="U345" s="1"/>
      <c r="V345" s="1"/>
      <c r="W345" s="1"/>
      <c r="X345" s="230" t="str">
        <f>LOOKUP(S20,squad!$B$18:$B$59,squad!$G$18:$G$59)</f>
        <v> </v>
      </c>
      <c r="Y345" s="25" t="s">
        <v>12</v>
      </c>
      <c r="Z345" s="1">
        <f t="shared" si="132"/>
        <v>0</v>
      </c>
      <c r="AA345" s="1"/>
      <c r="AB345" s="1"/>
      <c r="AC345" s="1"/>
      <c r="AD345" s="230" t="str">
        <f>LOOKUP(Y20,squad!$B$18:$B$59,squad!$G$18:$G$59)</f>
        <v> </v>
      </c>
    </row>
    <row r="346" spans="1:30" ht="12.75" hidden="1">
      <c r="A346" s="25" t="s">
        <v>12</v>
      </c>
      <c r="B346" s="1">
        <f t="shared" si="128"/>
        <v>0</v>
      </c>
      <c r="C346" s="1"/>
      <c r="D346" s="1"/>
      <c r="E346" s="1"/>
      <c r="F346" s="230" t="str">
        <f>LOOKUP(A21,squad!$B$18:$B$59,squad!$G$18:$G$59)</f>
        <v> </v>
      </c>
      <c r="G346" s="25" t="s">
        <v>12</v>
      </c>
      <c r="H346" s="1">
        <f t="shared" si="129"/>
        <v>0</v>
      </c>
      <c r="I346" s="1"/>
      <c r="J346" s="1"/>
      <c r="K346" s="1"/>
      <c r="L346" s="230" t="str">
        <f>LOOKUP(G21,squad!$B$18:$B$59,squad!$G$18:$G$59)</f>
        <v> </v>
      </c>
      <c r="M346" s="25" t="s">
        <v>12</v>
      </c>
      <c r="N346" s="1">
        <f t="shared" si="130"/>
        <v>0</v>
      </c>
      <c r="O346" s="1"/>
      <c r="P346" s="1"/>
      <c r="Q346" s="1"/>
      <c r="R346" s="230" t="str">
        <f>LOOKUP(M21,squad!$B$18:$B$59,squad!$G$18:$G$59)</f>
        <v> </v>
      </c>
      <c r="S346" s="25" t="s">
        <v>12</v>
      </c>
      <c r="T346" s="1">
        <f t="shared" si="131"/>
        <v>0</v>
      </c>
      <c r="U346" s="1"/>
      <c r="V346" s="1"/>
      <c r="W346" s="1"/>
      <c r="X346" s="230" t="str">
        <f>LOOKUP(S21,squad!$B$18:$B$59,squad!$G$18:$G$59)</f>
        <v> </v>
      </c>
      <c r="Y346" s="25" t="s">
        <v>12</v>
      </c>
      <c r="Z346" s="1">
        <f t="shared" si="132"/>
        <v>0</v>
      </c>
      <c r="AA346" s="1"/>
      <c r="AB346" s="1"/>
      <c r="AC346" s="1"/>
      <c r="AD346" s="230" t="str">
        <f>LOOKUP(Y21,squad!$B$18:$B$59,squad!$G$18:$G$59)</f>
        <v> </v>
      </c>
    </row>
    <row r="347" spans="1:30" ht="12.75" hidden="1">
      <c r="A347" s="25" t="s">
        <v>12</v>
      </c>
      <c r="B347" s="1">
        <f t="shared" si="128"/>
        <v>0</v>
      </c>
      <c r="C347" s="1"/>
      <c r="D347" s="1"/>
      <c r="E347" s="1"/>
      <c r="F347" s="230" t="str">
        <f>LOOKUP(A22,squad!$B$18:$B$59,squad!$G$18:$G$59)</f>
        <v> </v>
      </c>
      <c r="G347" s="25" t="s">
        <v>12</v>
      </c>
      <c r="H347" s="1">
        <f t="shared" si="129"/>
        <v>0</v>
      </c>
      <c r="I347" s="1"/>
      <c r="J347" s="1"/>
      <c r="K347" s="1"/>
      <c r="L347" s="230" t="str">
        <f>LOOKUP(G22,squad!$B$18:$B$59,squad!$G$18:$G$59)</f>
        <v> </v>
      </c>
      <c r="M347" s="25" t="s">
        <v>12</v>
      </c>
      <c r="N347" s="1">
        <f t="shared" si="130"/>
        <v>0</v>
      </c>
      <c r="O347" s="1"/>
      <c r="P347" s="1"/>
      <c r="Q347" s="1"/>
      <c r="R347" s="230" t="str">
        <f>LOOKUP(M22,squad!$B$18:$B$59,squad!$G$18:$G$59)</f>
        <v> </v>
      </c>
      <c r="S347" s="25" t="s">
        <v>12</v>
      </c>
      <c r="T347" s="1">
        <f t="shared" si="131"/>
        <v>0</v>
      </c>
      <c r="U347" s="1"/>
      <c r="V347" s="1"/>
      <c r="W347" s="1"/>
      <c r="X347" s="230" t="str">
        <f>LOOKUP(S22,squad!$B$18:$B$59,squad!$G$18:$G$59)</f>
        <v> </v>
      </c>
      <c r="Y347" s="25" t="s">
        <v>12</v>
      </c>
      <c r="Z347" s="1">
        <f t="shared" si="132"/>
        <v>0</v>
      </c>
      <c r="AA347" s="1"/>
      <c r="AB347" s="1"/>
      <c r="AC347" s="1"/>
      <c r="AD347" s="230" t="str">
        <f>LOOKUP(Y22,squad!$B$18:$B$59,squad!$G$18:$G$59)</f>
        <v> </v>
      </c>
    </row>
    <row r="348" spans="1:30" ht="12.75" hidden="1">
      <c r="A348" s="25" t="s">
        <v>12</v>
      </c>
      <c r="B348" s="1">
        <f t="shared" si="128"/>
        <v>0</v>
      </c>
      <c r="C348" s="1"/>
      <c r="D348" s="1"/>
      <c r="E348" s="1"/>
      <c r="F348" s="230" t="str">
        <f>LOOKUP(A23,squad!$B$18:$B$59,squad!$G$18:$G$59)</f>
        <v> </v>
      </c>
      <c r="G348" s="25" t="s">
        <v>12</v>
      </c>
      <c r="H348" s="1">
        <f t="shared" si="129"/>
        <v>0</v>
      </c>
      <c r="I348" s="1"/>
      <c r="J348" s="1"/>
      <c r="K348" s="1"/>
      <c r="L348" s="230" t="str">
        <f>LOOKUP(G23,squad!$B$18:$B$59,squad!$G$18:$G$59)</f>
        <v> </v>
      </c>
      <c r="M348" s="25" t="s">
        <v>12</v>
      </c>
      <c r="N348" s="1">
        <f t="shared" si="130"/>
        <v>0</v>
      </c>
      <c r="O348" s="1"/>
      <c r="P348" s="1"/>
      <c r="Q348" s="1"/>
      <c r="R348" s="230" t="str">
        <f>LOOKUP(M23,squad!$B$18:$B$59,squad!$G$18:$G$59)</f>
        <v> </v>
      </c>
      <c r="S348" s="25" t="s">
        <v>12</v>
      </c>
      <c r="T348" s="1">
        <f t="shared" si="131"/>
        <v>0</v>
      </c>
      <c r="U348" s="1"/>
      <c r="V348" s="1"/>
      <c r="W348" s="1"/>
      <c r="X348" s="230" t="str">
        <f>LOOKUP(S23,squad!$B$18:$B$59,squad!$G$18:$G$59)</f>
        <v> </v>
      </c>
      <c r="Y348" s="25" t="s">
        <v>12</v>
      </c>
      <c r="Z348" s="1">
        <f t="shared" si="132"/>
        <v>0</v>
      </c>
      <c r="AA348" s="1"/>
      <c r="AB348" s="1"/>
      <c r="AC348" s="1"/>
      <c r="AD348" s="230" t="str">
        <f>LOOKUP(Y23,squad!$B$18:$B$59,squad!$G$18:$G$59)</f>
        <v> </v>
      </c>
    </row>
    <row r="349" spans="1:30" ht="13.5" hidden="1" thickBot="1">
      <c r="A349" s="25" t="s">
        <v>12</v>
      </c>
      <c r="B349" s="1">
        <f t="shared" si="128"/>
        <v>0</v>
      </c>
      <c r="C349" s="1"/>
      <c r="D349" s="1"/>
      <c r="E349" s="1"/>
      <c r="F349" s="230" t="str">
        <f>LOOKUP(A24,squad!$B$18:$B$59,squad!$G$18:$G$59)</f>
        <v> </v>
      </c>
      <c r="G349" s="25" t="s">
        <v>12</v>
      </c>
      <c r="H349" s="1">
        <f t="shared" si="129"/>
        <v>0</v>
      </c>
      <c r="I349" s="1"/>
      <c r="J349" s="1"/>
      <c r="K349" s="1"/>
      <c r="L349" s="230" t="str">
        <f>LOOKUP(G24,squad!$B$18:$B$59,squad!$G$18:$G$59)</f>
        <v> </v>
      </c>
      <c r="M349" s="25" t="s">
        <v>12</v>
      </c>
      <c r="N349" s="1">
        <f t="shared" si="130"/>
        <v>0</v>
      </c>
      <c r="O349" s="1"/>
      <c r="P349" s="1"/>
      <c r="Q349" s="1"/>
      <c r="R349" s="230" t="str">
        <f>LOOKUP(M24,squad!$B$18:$B$59,squad!$G$18:$G$59)</f>
        <v> </v>
      </c>
      <c r="S349" s="25" t="s">
        <v>12</v>
      </c>
      <c r="T349" s="1">
        <f t="shared" si="131"/>
        <v>0</v>
      </c>
      <c r="U349" s="1"/>
      <c r="V349" s="1"/>
      <c r="W349" s="1"/>
      <c r="X349" s="230" t="str">
        <f>LOOKUP(S24,squad!$B$18:$B$59,squad!$G$18:$G$59)</f>
        <v> </v>
      </c>
      <c r="Y349" s="25" t="s">
        <v>12</v>
      </c>
      <c r="Z349" s="1">
        <f t="shared" si="132"/>
        <v>0</v>
      </c>
      <c r="AA349" s="1"/>
      <c r="AB349" s="1"/>
      <c r="AC349" s="1"/>
      <c r="AD349" s="230" t="str">
        <f>LOOKUP(Y24,squad!$B$18:$B$59,squad!$G$18:$G$59)</f>
        <v> </v>
      </c>
    </row>
    <row r="350" spans="1:30" ht="12.75" hidden="1">
      <c r="A350" s="226" t="s">
        <v>13</v>
      </c>
      <c r="B350" s="218">
        <f t="shared" si="128"/>
        <v>0</v>
      </c>
      <c r="C350" s="218">
        <f aca="true" t="shared" si="133" ref="C350:C355">IF(B350="LK",F47,0)</f>
        <v>0</v>
      </c>
      <c r="D350" s="218"/>
      <c r="E350" s="218"/>
      <c r="F350" s="232" t="str">
        <f>LOOKUP(A25,squad!$B$18:$B$59,squad!$G$18:$G$59)</f>
        <v> </v>
      </c>
      <c r="G350" s="226" t="s">
        <v>13</v>
      </c>
      <c r="H350" s="218">
        <f t="shared" si="129"/>
        <v>0</v>
      </c>
      <c r="I350" s="218">
        <f aca="true" t="shared" si="134" ref="I350:I355">IF(H350="LK",L47,0)</f>
        <v>0</v>
      </c>
      <c r="J350" s="218"/>
      <c r="K350" s="218"/>
      <c r="L350" s="232" t="str">
        <f>LOOKUP(G25,squad!$B$18:$B$59,squad!$G$18:$G$59)</f>
        <v> </v>
      </c>
      <c r="M350" s="226" t="s">
        <v>13</v>
      </c>
      <c r="N350" s="218">
        <f t="shared" si="130"/>
        <v>0</v>
      </c>
      <c r="O350" s="218">
        <f aca="true" t="shared" si="135" ref="O350:O355">IF(N350="LK",R47,0)</f>
        <v>0</v>
      </c>
      <c r="P350" s="218"/>
      <c r="Q350" s="218"/>
      <c r="R350" s="232" t="str">
        <f>LOOKUP(M25,squad!$B$18:$B$59,squad!$G$18:$G$59)</f>
        <v> </v>
      </c>
      <c r="S350" s="226" t="s">
        <v>13</v>
      </c>
      <c r="T350" s="218">
        <f t="shared" si="131"/>
        <v>0</v>
      </c>
      <c r="U350" s="218">
        <f aca="true" t="shared" si="136" ref="U350:U355">IF(T350="LK",X47,0)</f>
        <v>0</v>
      </c>
      <c r="V350" s="218"/>
      <c r="W350" s="218"/>
      <c r="X350" s="232" t="str">
        <f>LOOKUP(S25,squad!$B$18:$B$59,squad!$G$18:$G$59)</f>
        <v> </v>
      </c>
      <c r="Y350" s="226" t="s">
        <v>13</v>
      </c>
      <c r="Z350" s="218">
        <f t="shared" si="132"/>
        <v>0</v>
      </c>
      <c r="AA350" s="218">
        <f aca="true" t="shared" si="137" ref="AA350:AA355">IF(Z350="LK",AD47,0)</f>
        <v>0</v>
      </c>
      <c r="AB350" s="218"/>
      <c r="AC350" s="218"/>
      <c r="AD350" s="232" t="str">
        <f>LOOKUP(Y25,squad!$B$18:$B$59,squad!$G$18:$G$59)</f>
        <v> </v>
      </c>
    </row>
    <row r="351" spans="1:30" ht="12.75" hidden="1">
      <c r="A351" s="25" t="s">
        <v>13</v>
      </c>
      <c r="B351" s="1">
        <f t="shared" si="128"/>
        <v>0</v>
      </c>
      <c r="C351" s="1">
        <f t="shared" si="133"/>
        <v>0</v>
      </c>
      <c r="D351" s="1"/>
      <c r="E351" s="1"/>
      <c r="F351" s="230" t="str">
        <f>LOOKUP(A26,squad!$B$18:$B$59,squad!$G$18:$G$59)</f>
        <v> </v>
      </c>
      <c r="G351" s="25" t="s">
        <v>13</v>
      </c>
      <c r="H351" s="1">
        <f t="shared" si="129"/>
        <v>0</v>
      </c>
      <c r="I351" s="1">
        <f t="shared" si="134"/>
        <v>0</v>
      </c>
      <c r="J351" s="1"/>
      <c r="K351" s="1"/>
      <c r="L351" s="230" t="str">
        <f>LOOKUP(G26,squad!$B$18:$B$59,squad!$G$18:$G$59)</f>
        <v> </v>
      </c>
      <c r="M351" s="25" t="s">
        <v>13</v>
      </c>
      <c r="N351" s="1">
        <f t="shared" si="130"/>
        <v>0</v>
      </c>
      <c r="O351" s="1">
        <f t="shared" si="135"/>
        <v>0</v>
      </c>
      <c r="P351" s="1"/>
      <c r="Q351" s="1"/>
      <c r="R351" s="230" t="str">
        <f>LOOKUP(M26,squad!$B$18:$B$59,squad!$G$18:$G$59)</f>
        <v> </v>
      </c>
      <c r="S351" s="25" t="s">
        <v>13</v>
      </c>
      <c r="T351" s="1">
        <f t="shared" si="131"/>
        <v>0</v>
      </c>
      <c r="U351" s="1">
        <f t="shared" si="136"/>
        <v>0</v>
      </c>
      <c r="V351" s="1"/>
      <c r="W351" s="1"/>
      <c r="X351" s="230" t="str">
        <f>LOOKUP(S26,squad!$B$18:$B$59,squad!$G$18:$G$59)</f>
        <v> </v>
      </c>
      <c r="Y351" s="25" t="s">
        <v>13</v>
      </c>
      <c r="Z351" s="1">
        <f t="shared" si="132"/>
        <v>0</v>
      </c>
      <c r="AA351" s="1">
        <f t="shared" si="137"/>
        <v>0</v>
      </c>
      <c r="AB351" s="1"/>
      <c r="AC351" s="1"/>
      <c r="AD351" s="230" t="str">
        <f>LOOKUP(Y26,squad!$B$18:$B$59,squad!$G$18:$G$59)</f>
        <v> </v>
      </c>
    </row>
    <row r="352" spans="1:30" ht="12.75" hidden="1">
      <c r="A352" s="25" t="s">
        <v>13</v>
      </c>
      <c r="B352" s="1">
        <f t="shared" si="128"/>
        <v>0</v>
      </c>
      <c r="C352" s="1">
        <f t="shared" si="133"/>
        <v>0</v>
      </c>
      <c r="D352" s="1"/>
      <c r="E352" s="1"/>
      <c r="F352" s="230" t="str">
        <f>LOOKUP(A27,squad!$B$18:$B$59,squad!$G$18:$G$59)</f>
        <v> </v>
      </c>
      <c r="G352" s="25" t="s">
        <v>13</v>
      </c>
      <c r="H352" s="1">
        <f t="shared" si="129"/>
        <v>0</v>
      </c>
      <c r="I352" s="1">
        <f t="shared" si="134"/>
        <v>0</v>
      </c>
      <c r="J352" s="1"/>
      <c r="K352" s="1"/>
      <c r="L352" s="230" t="str">
        <f>LOOKUP(G27,squad!$B$18:$B$59,squad!$G$18:$G$59)</f>
        <v> </v>
      </c>
      <c r="M352" s="25" t="s">
        <v>13</v>
      </c>
      <c r="N352" s="1">
        <f t="shared" si="130"/>
        <v>0</v>
      </c>
      <c r="O352" s="1">
        <f t="shared" si="135"/>
        <v>0</v>
      </c>
      <c r="P352" s="1"/>
      <c r="Q352" s="1"/>
      <c r="R352" s="230" t="str">
        <f>LOOKUP(M27,squad!$B$18:$B$59,squad!$G$18:$G$59)</f>
        <v> </v>
      </c>
      <c r="S352" s="25" t="s">
        <v>13</v>
      </c>
      <c r="T352" s="1">
        <f t="shared" si="131"/>
        <v>0</v>
      </c>
      <c r="U352" s="1">
        <f t="shared" si="136"/>
        <v>0</v>
      </c>
      <c r="V352" s="1"/>
      <c r="W352" s="1"/>
      <c r="X352" s="230" t="str">
        <f>LOOKUP(S27,squad!$B$18:$B$59,squad!$G$18:$G$59)</f>
        <v> </v>
      </c>
      <c r="Y352" s="25" t="s">
        <v>13</v>
      </c>
      <c r="Z352" s="1">
        <f t="shared" si="132"/>
        <v>0</v>
      </c>
      <c r="AA352" s="1">
        <f t="shared" si="137"/>
        <v>0</v>
      </c>
      <c r="AB352" s="1"/>
      <c r="AC352" s="1"/>
      <c r="AD352" s="230" t="str">
        <f>LOOKUP(Y27,squad!$B$18:$B$59,squad!$G$18:$G$59)</f>
        <v> </v>
      </c>
    </row>
    <row r="353" spans="1:30" ht="12.75" hidden="1">
      <c r="A353" s="25" t="s">
        <v>13</v>
      </c>
      <c r="B353" s="1">
        <f t="shared" si="128"/>
        <v>0</v>
      </c>
      <c r="C353" s="1">
        <f t="shared" si="133"/>
        <v>0</v>
      </c>
      <c r="D353" s="1"/>
      <c r="E353" s="1"/>
      <c r="F353" s="230" t="str">
        <f>LOOKUP(A28,squad!$B$18:$B$59,squad!$G$18:$G$59)</f>
        <v> </v>
      </c>
      <c r="G353" s="25" t="s">
        <v>13</v>
      </c>
      <c r="H353" s="1">
        <f t="shared" si="129"/>
        <v>0</v>
      </c>
      <c r="I353" s="1">
        <f t="shared" si="134"/>
        <v>0</v>
      </c>
      <c r="J353" s="1"/>
      <c r="K353" s="1"/>
      <c r="L353" s="230" t="str">
        <f>LOOKUP(G28,squad!$B$18:$B$59,squad!$G$18:$G$59)</f>
        <v> </v>
      </c>
      <c r="M353" s="25" t="s">
        <v>13</v>
      </c>
      <c r="N353" s="1">
        <f t="shared" si="130"/>
        <v>0</v>
      </c>
      <c r="O353" s="1">
        <f t="shared" si="135"/>
        <v>0</v>
      </c>
      <c r="P353" s="1"/>
      <c r="Q353" s="1"/>
      <c r="R353" s="230" t="str">
        <f>LOOKUP(M28,squad!$B$18:$B$59,squad!$G$18:$G$59)</f>
        <v> </v>
      </c>
      <c r="S353" s="25" t="s">
        <v>13</v>
      </c>
      <c r="T353" s="1">
        <f t="shared" si="131"/>
        <v>0</v>
      </c>
      <c r="U353" s="1">
        <f t="shared" si="136"/>
        <v>0</v>
      </c>
      <c r="V353" s="1"/>
      <c r="W353" s="1"/>
      <c r="X353" s="230" t="str">
        <f>LOOKUP(S28,squad!$B$18:$B$59,squad!$G$18:$G$59)</f>
        <v> </v>
      </c>
      <c r="Y353" s="25" t="s">
        <v>13</v>
      </c>
      <c r="Z353" s="1">
        <f t="shared" si="132"/>
        <v>0</v>
      </c>
      <c r="AA353" s="1">
        <f t="shared" si="137"/>
        <v>0</v>
      </c>
      <c r="AB353" s="1"/>
      <c r="AC353" s="1"/>
      <c r="AD353" s="230" t="str">
        <f>LOOKUP(Y28,squad!$B$18:$B$59,squad!$G$18:$G$59)</f>
        <v> </v>
      </c>
    </row>
    <row r="354" spans="1:30" ht="12.75" hidden="1">
      <c r="A354" s="25" t="s">
        <v>13</v>
      </c>
      <c r="B354" s="1">
        <f t="shared" si="128"/>
        <v>0</v>
      </c>
      <c r="C354" s="1">
        <f t="shared" si="133"/>
        <v>0</v>
      </c>
      <c r="D354" s="1"/>
      <c r="E354" s="1"/>
      <c r="F354" s="230" t="str">
        <f>LOOKUP(A29,squad!$B$18:$B$59,squad!$G$18:$G$59)</f>
        <v> </v>
      </c>
      <c r="G354" s="25" t="s">
        <v>13</v>
      </c>
      <c r="H354" s="1">
        <f t="shared" si="129"/>
        <v>0</v>
      </c>
      <c r="I354" s="1">
        <f t="shared" si="134"/>
        <v>0</v>
      </c>
      <c r="J354" s="1"/>
      <c r="K354" s="1"/>
      <c r="L354" s="230" t="str">
        <f>LOOKUP(G29,squad!$B$18:$B$59,squad!$G$18:$G$59)</f>
        <v> </v>
      </c>
      <c r="M354" s="25" t="s">
        <v>13</v>
      </c>
      <c r="N354" s="1">
        <f t="shared" si="130"/>
        <v>0</v>
      </c>
      <c r="O354" s="1">
        <f t="shared" si="135"/>
        <v>0</v>
      </c>
      <c r="P354" s="1"/>
      <c r="Q354" s="1"/>
      <c r="R354" s="230" t="str">
        <f>LOOKUP(M29,squad!$B$18:$B$59,squad!$G$18:$G$59)</f>
        <v> </v>
      </c>
      <c r="S354" s="25" t="s">
        <v>13</v>
      </c>
      <c r="T354" s="1">
        <f t="shared" si="131"/>
        <v>0</v>
      </c>
      <c r="U354" s="1">
        <f t="shared" si="136"/>
        <v>0</v>
      </c>
      <c r="V354" s="1"/>
      <c r="W354" s="1"/>
      <c r="X354" s="230" t="str">
        <f>LOOKUP(S29,squad!$B$18:$B$59,squad!$G$18:$G$59)</f>
        <v> </v>
      </c>
      <c r="Y354" s="25" t="s">
        <v>13</v>
      </c>
      <c r="Z354" s="1">
        <f t="shared" si="132"/>
        <v>0</v>
      </c>
      <c r="AA354" s="1">
        <f t="shared" si="137"/>
        <v>0</v>
      </c>
      <c r="AB354" s="1"/>
      <c r="AC354" s="1"/>
      <c r="AD354" s="230" t="str">
        <f>LOOKUP(Y29,squad!$B$18:$B$59,squad!$G$18:$G$59)</f>
        <v> </v>
      </c>
    </row>
    <row r="355" spans="1:30" ht="13.5" hidden="1" thickBot="1">
      <c r="A355" s="221" t="s">
        <v>13</v>
      </c>
      <c r="B355" s="26">
        <f t="shared" si="128"/>
        <v>0</v>
      </c>
      <c r="C355" s="26">
        <f t="shared" si="133"/>
        <v>0</v>
      </c>
      <c r="D355" s="26"/>
      <c r="E355" s="26"/>
      <c r="F355" s="231" t="str">
        <f>LOOKUP(A30,squad!$B$18:$B$59,squad!$G$18:$G$59)</f>
        <v> </v>
      </c>
      <c r="G355" s="221" t="s">
        <v>13</v>
      </c>
      <c r="H355" s="26">
        <f t="shared" si="129"/>
        <v>0</v>
      </c>
      <c r="I355" s="26">
        <f t="shared" si="134"/>
        <v>0</v>
      </c>
      <c r="J355" s="26"/>
      <c r="K355" s="26"/>
      <c r="L355" s="231" t="str">
        <f>LOOKUP(G30,squad!$B$18:$B$59,squad!$G$18:$G$59)</f>
        <v> </v>
      </c>
      <c r="M355" s="221" t="s">
        <v>13</v>
      </c>
      <c r="N355" s="26">
        <f t="shared" si="130"/>
        <v>0</v>
      </c>
      <c r="O355" s="26">
        <f t="shared" si="135"/>
        <v>0</v>
      </c>
      <c r="P355" s="26"/>
      <c r="Q355" s="26"/>
      <c r="R355" s="231" t="str">
        <f>LOOKUP(M30,squad!$B$18:$B$59,squad!$G$18:$G$59)</f>
        <v> </v>
      </c>
      <c r="S355" s="221" t="s">
        <v>13</v>
      </c>
      <c r="T355" s="26">
        <f t="shared" si="131"/>
        <v>0</v>
      </c>
      <c r="U355" s="26">
        <f t="shared" si="136"/>
        <v>0</v>
      </c>
      <c r="V355" s="26"/>
      <c r="W355" s="26"/>
      <c r="X355" s="231" t="str">
        <f>LOOKUP(S30,squad!$B$18:$B$59,squad!$G$18:$G$59)</f>
        <v> </v>
      </c>
      <c r="Y355" s="221" t="s">
        <v>13</v>
      </c>
      <c r="Z355" s="26">
        <f t="shared" si="132"/>
        <v>0</v>
      </c>
      <c r="AA355" s="26">
        <f t="shared" si="137"/>
        <v>0</v>
      </c>
      <c r="AB355" s="26"/>
      <c r="AC355" s="26"/>
      <c r="AD355" s="231" t="str">
        <f>LOOKUP(Y30,squad!$B$18:$B$59,squad!$G$18:$G$59)</f>
        <v> </v>
      </c>
    </row>
    <row r="356" spans="1:30" ht="12.75" hidden="1">
      <c r="A356" s="25" t="s">
        <v>14</v>
      </c>
      <c r="B356" s="1">
        <f t="shared" si="128"/>
        <v>0</v>
      </c>
      <c r="C356" s="2">
        <f aca="true" t="shared" si="138" ref="C356:C361">IF(B356="LS",INT(F31/2),0)</f>
        <v>0</v>
      </c>
      <c r="D356" s="1">
        <f>-IF(AM20&gt;1,C356,0)</f>
        <v>0</v>
      </c>
      <c r="E356" s="1"/>
      <c r="F356" s="230" t="str">
        <f>LOOKUP(A31,squad!$B$18:$B$59,squad!$G$18:$G$59)</f>
        <v> </v>
      </c>
      <c r="G356" s="25" t="s">
        <v>14</v>
      </c>
      <c r="H356" s="1">
        <f t="shared" si="129"/>
        <v>0</v>
      </c>
      <c r="I356" s="2">
        <f aca="true" t="shared" si="139" ref="I356:I361">IF(H356="LS",INT(L31/2),0)</f>
        <v>0</v>
      </c>
      <c r="J356" s="1">
        <f>-IF(AS20&gt;1,I356,0)</f>
        <v>0</v>
      </c>
      <c r="K356" s="1"/>
      <c r="L356" s="230" t="str">
        <f>LOOKUP(G31,squad!$B$18:$B$59,squad!$G$18:$G$59)</f>
        <v> </v>
      </c>
      <c r="M356" s="25" t="s">
        <v>14</v>
      </c>
      <c r="N356" s="1">
        <f t="shared" si="130"/>
        <v>0</v>
      </c>
      <c r="O356" s="2">
        <f aca="true" t="shared" si="140" ref="O356:O361">IF(N356="LS",INT(R31/2),0)</f>
        <v>0</v>
      </c>
      <c r="P356" s="1">
        <f>-IF(AY20&gt;1,O356,0)</f>
        <v>0</v>
      </c>
      <c r="Q356" s="1"/>
      <c r="R356" s="230" t="str">
        <f>LOOKUP(M31,squad!$B$18:$B$59,squad!$G$18:$G$59)</f>
        <v> </v>
      </c>
      <c r="S356" s="25" t="s">
        <v>14</v>
      </c>
      <c r="T356" s="1">
        <f t="shared" si="131"/>
        <v>0</v>
      </c>
      <c r="U356" s="2">
        <f aca="true" t="shared" si="141" ref="U356:U361">IF(T356="LS",INT(X31/2),0)</f>
        <v>0</v>
      </c>
      <c r="V356" s="1">
        <f>-IF(BE20&gt;1,U356,0)</f>
        <v>0</v>
      </c>
      <c r="W356" s="1"/>
      <c r="X356" s="230" t="str">
        <f>LOOKUP(S31,squad!$B$18:$B$59,squad!$G$18:$G$59)</f>
        <v> </v>
      </c>
      <c r="Y356" s="25" t="s">
        <v>14</v>
      </c>
      <c r="Z356" s="1">
        <f t="shared" si="132"/>
        <v>0</v>
      </c>
      <c r="AA356" s="2">
        <f aca="true" t="shared" si="142" ref="AA356:AA361">IF(Z356="LS",INT(AD31/2),0)</f>
        <v>0</v>
      </c>
      <c r="AB356" s="1">
        <f>-IF(BK20&gt;1,AA356,0)</f>
        <v>0</v>
      </c>
      <c r="AC356" s="1"/>
      <c r="AD356" s="230" t="str">
        <f>LOOKUP(Y31,squad!$B$18:$B$59,squad!$G$18:$G$59)</f>
        <v> </v>
      </c>
    </row>
    <row r="357" spans="1:30" ht="12.75" hidden="1">
      <c r="A357" s="25" t="s">
        <v>14</v>
      </c>
      <c r="B357" s="1">
        <f t="shared" si="128"/>
        <v>0</v>
      </c>
      <c r="C357" s="2">
        <f t="shared" si="138"/>
        <v>0</v>
      </c>
      <c r="D357" s="1">
        <f>-IF(AM20&gt;1,C357,0)</f>
        <v>0</v>
      </c>
      <c r="E357" s="1"/>
      <c r="F357" s="230" t="str">
        <f>LOOKUP(A32,squad!$B$18:$B$59,squad!$G$18:$G$59)</f>
        <v> </v>
      </c>
      <c r="G357" s="25" t="s">
        <v>14</v>
      </c>
      <c r="H357" s="1">
        <f t="shared" si="129"/>
        <v>0</v>
      </c>
      <c r="I357" s="2">
        <f t="shared" si="139"/>
        <v>0</v>
      </c>
      <c r="J357" s="1">
        <f>-IF(AS20&gt;1,I357,0)</f>
        <v>0</v>
      </c>
      <c r="K357" s="1"/>
      <c r="L357" s="230" t="str">
        <f>LOOKUP(G32,squad!$B$18:$B$59,squad!$G$18:$G$59)</f>
        <v> </v>
      </c>
      <c r="M357" s="25" t="s">
        <v>14</v>
      </c>
      <c r="N357" s="1">
        <f t="shared" si="130"/>
        <v>0</v>
      </c>
      <c r="O357" s="2">
        <f t="shared" si="140"/>
        <v>0</v>
      </c>
      <c r="P357" s="1">
        <f>-IF(AY20&gt;1,O357,0)</f>
        <v>0</v>
      </c>
      <c r="Q357" s="1"/>
      <c r="R357" s="230" t="str">
        <f>LOOKUP(M32,squad!$B$18:$B$59,squad!$G$18:$G$59)</f>
        <v> </v>
      </c>
      <c r="S357" s="25" t="s">
        <v>14</v>
      </c>
      <c r="T357" s="1">
        <f t="shared" si="131"/>
        <v>0</v>
      </c>
      <c r="U357" s="2">
        <f t="shared" si="141"/>
        <v>0</v>
      </c>
      <c r="V357" s="1">
        <f>-IF(BE20&gt;1,U357,0)</f>
        <v>0</v>
      </c>
      <c r="W357" s="1"/>
      <c r="X357" s="230" t="str">
        <f>LOOKUP(S32,squad!$B$18:$B$59,squad!$G$18:$G$59)</f>
        <v> </v>
      </c>
      <c r="Y357" s="25" t="s">
        <v>14</v>
      </c>
      <c r="Z357" s="1">
        <f t="shared" si="132"/>
        <v>0</v>
      </c>
      <c r="AA357" s="2">
        <f t="shared" si="142"/>
        <v>0</v>
      </c>
      <c r="AB357" s="1">
        <f>-IF(BK20&gt;1,AA357,0)</f>
        <v>0</v>
      </c>
      <c r="AC357" s="1"/>
      <c r="AD357" s="230" t="str">
        <f>LOOKUP(Y32,squad!$B$18:$B$59,squad!$G$18:$G$59)</f>
        <v> </v>
      </c>
    </row>
    <row r="358" spans="1:30" ht="12.75" hidden="1">
      <c r="A358" s="25" t="s">
        <v>14</v>
      </c>
      <c r="B358" s="1">
        <f t="shared" si="128"/>
        <v>0</v>
      </c>
      <c r="C358" s="2">
        <f t="shared" si="138"/>
        <v>0</v>
      </c>
      <c r="D358" s="1">
        <f>-IF(AM20&gt;1,C358,0)</f>
        <v>0</v>
      </c>
      <c r="E358" s="1"/>
      <c r="F358" s="230" t="str">
        <f>LOOKUP(A33,squad!$B$18:$B$59,squad!$G$18:$G$59)</f>
        <v> </v>
      </c>
      <c r="G358" s="25" t="s">
        <v>14</v>
      </c>
      <c r="H358" s="1">
        <f t="shared" si="129"/>
        <v>0</v>
      </c>
      <c r="I358" s="2">
        <f t="shared" si="139"/>
        <v>0</v>
      </c>
      <c r="J358" s="1">
        <f>-IF(AS20&gt;1,I358,0)</f>
        <v>0</v>
      </c>
      <c r="K358" s="1"/>
      <c r="L358" s="230" t="str">
        <f>LOOKUP(G33,squad!$B$18:$B$59,squad!$G$18:$G$59)</f>
        <v> </v>
      </c>
      <c r="M358" s="25" t="s">
        <v>14</v>
      </c>
      <c r="N358" s="1">
        <f t="shared" si="130"/>
        <v>0</v>
      </c>
      <c r="O358" s="2">
        <f t="shared" si="140"/>
        <v>0</v>
      </c>
      <c r="P358" s="1">
        <f>-IF(AY20&gt;1,O358,0)</f>
        <v>0</v>
      </c>
      <c r="Q358" s="1"/>
      <c r="R358" s="230" t="str">
        <f>LOOKUP(M33,squad!$B$18:$B$59,squad!$G$18:$G$59)</f>
        <v> </v>
      </c>
      <c r="S358" s="25" t="s">
        <v>14</v>
      </c>
      <c r="T358" s="1">
        <f t="shared" si="131"/>
        <v>0</v>
      </c>
      <c r="U358" s="2">
        <f t="shared" si="141"/>
        <v>0</v>
      </c>
      <c r="V358" s="1">
        <f>-IF(BE20&gt;1,U358,0)</f>
        <v>0</v>
      </c>
      <c r="W358" s="1"/>
      <c r="X358" s="230" t="str">
        <f>LOOKUP(S33,squad!$B$18:$B$59,squad!$G$18:$G$59)</f>
        <v> </v>
      </c>
      <c r="Y358" s="25" t="s">
        <v>14</v>
      </c>
      <c r="Z358" s="1">
        <f t="shared" si="132"/>
        <v>0</v>
      </c>
      <c r="AA358" s="2">
        <f t="shared" si="142"/>
        <v>0</v>
      </c>
      <c r="AB358" s="1">
        <f>-IF(BK20&gt;1,AA358,0)</f>
        <v>0</v>
      </c>
      <c r="AC358" s="1"/>
      <c r="AD358" s="230" t="str">
        <f>LOOKUP(Y33,squad!$B$18:$B$59,squad!$G$18:$G$59)</f>
        <v> </v>
      </c>
    </row>
    <row r="359" spans="1:30" ht="12.75" hidden="1">
      <c r="A359" s="25" t="s">
        <v>14</v>
      </c>
      <c r="B359" s="1">
        <f t="shared" si="128"/>
        <v>0</v>
      </c>
      <c r="C359" s="2">
        <f t="shared" si="138"/>
        <v>0</v>
      </c>
      <c r="D359" s="1">
        <f>-IF(AM20&gt;1,C359,0)</f>
        <v>0</v>
      </c>
      <c r="E359" s="1"/>
      <c r="F359" s="230" t="str">
        <f>LOOKUP(A34,squad!$B$18:$B$59,squad!$G$18:$G$59)</f>
        <v> </v>
      </c>
      <c r="G359" s="25" t="s">
        <v>14</v>
      </c>
      <c r="H359" s="1">
        <f t="shared" si="129"/>
        <v>0</v>
      </c>
      <c r="I359" s="2">
        <f t="shared" si="139"/>
        <v>0</v>
      </c>
      <c r="J359" s="1">
        <f>-IF(AS20&gt;1,I359,0)</f>
        <v>0</v>
      </c>
      <c r="K359" s="1"/>
      <c r="L359" s="230" t="str">
        <f>LOOKUP(G34,squad!$B$18:$B$59,squad!$G$18:$G$59)</f>
        <v> </v>
      </c>
      <c r="M359" s="25" t="s">
        <v>14</v>
      </c>
      <c r="N359" s="1">
        <f t="shared" si="130"/>
        <v>0</v>
      </c>
      <c r="O359" s="2">
        <f t="shared" si="140"/>
        <v>0</v>
      </c>
      <c r="P359" s="1">
        <f>-IF(AY20&gt;1,O359,0)</f>
        <v>0</v>
      </c>
      <c r="Q359" s="1"/>
      <c r="R359" s="230" t="str">
        <f>LOOKUP(M34,squad!$B$18:$B$59,squad!$G$18:$G$59)</f>
        <v> </v>
      </c>
      <c r="S359" s="25" t="s">
        <v>14</v>
      </c>
      <c r="T359" s="1">
        <f t="shared" si="131"/>
        <v>0</v>
      </c>
      <c r="U359" s="2">
        <f t="shared" si="141"/>
        <v>0</v>
      </c>
      <c r="V359" s="1">
        <f>-IF(BE20&gt;1,U359,0)</f>
        <v>0</v>
      </c>
      <c r="W359" s="1"/>
      <c r="X359" s="230" t="str">
        <f>LOOKUP(S34,squad!$B$18:$B$59,squad!$G$18:$G$59)</f>
        <v> </v>
      </c>
      <c r="Y359" s="25" t="s">
        <v>14</v>
      </c>
      <c r="Z359" s="1">
        <f t="shared" si="132"/>
        <v>0</v>
      </c>
      <c r="AA359" s="2">
        <f t="shared" si="142"/>
        <v>0</v>
      </c>
      <c r="AB359" s="1">
        <f>-IF(BK20&gt;1,AA359,0)</f>
        <v>0</v>
      </c>
      <c r="AC359" s="1"/>
      <c r="AD359" s="230" t="str">
        <f>LOOKUP(Y34,squad!$B$18:$B$59,squad!$G$18:$G$59)</f>
        <v> </v>
      </c>
    </row>
    <row r="360" spans="1:30" ht="12.75" hidden="1">
      <c r="A360" s="25" t="s">
        <v>14</v>
      </c>
      <c r="B360" s="1">
        <f t="shared" si="128"/>
        <v>0</v>
      </c>
      <c r="C360" s="2">
        <f t="shared" si="138"/>
        <v>0</v>
      </c>
      <c r="D360" s="1">
        <f>-IF(AM20&gt;1,C360,0)</f>
        <v>0</v>
      </c>
      <c r="E360" s="1"/>
      <c r="F360" s="230" t="str">
        <f>LOOKUP(A35,squad!$B$18:$B$59,squad!$G$18:$G$59)</f>
        <v> </v>
      </c>
      <c r="G360" s="25" t="s">
        <v>14</v>
      </c>
      <c r="H360" s="1">
        <f t="shared" si="129"/>
        <v>0</v>
      </c>
      <c r="I360" s="2">
        <f t="shared" si="139"/>
        <v>0</v>
      </c>
      <c r="J360" s="1">
        <f>-IF(AS20&gt;1,I360,0)</f>
        <v>0</v>
      </c>
      <c r="K360" s="1"/>
      <c r="L360" s="230" t="str">
        <f>LOOKUP(G35,squad!$B$18:$B$59,squad!$G$18:$G$59)</f>
        <v> </v>
      </c>
      <c r="M360" s="25" t="s">
        <v>14</v>
      </c>
      <c r="N360" s="1">
        <f t="shared" si="130"/>
        <v>0</v>
      </c>
      <c r="O360" s="2">
        <f t="shared" si="140"/>
        <v>0</v>
      </c>
      <c r="P360" s="1">
        <f>-IF(AY20&gt;1,O360,0)</f>
        <v>0</v>
      </c>
      <c r="Q360" s="1"/>
      <c r="R360" s="230" t="str">
        <f>LOOKUP(M35,squad!$B$18:$B$59,squad!$G$18:$G$59)</f>
        <v> </v>
      </c>
      <c r="S360" s="25" t="s">
        <v>14</v>
      </c>
      <c r="T360" s="1">
        <f t="shared" si="131"/>
        <v>0</v>
      </c>
      <c r="U360" s="2">
        <f t="shared" si="141"/>
        <v>0</v>
      </c>
      <c r="V360" s="1">
        <f>-IF(BE20&gt;1,U360,0)</f>
        <v>0</v>
      </c>
      <c r="W360" s="1"/>
      <c r="X360" s="230" t="str">
        <f>LOOKUP(S35,squad!$B$18:$B$59,squad!$G$18:$G$59)</f>
        <v> </v>
      </c>
      <c r="Y360" s="25" t="s">
        <v>14</v>
      </c>
      <c r="Z360" s="1">
        <f t="shared" si="132"/>
        <v>0</v>
      </c>
      <c r="AA360" s="2">
        <f t="shared" si="142"/>
        <v>0</v>
      </c>
      <c r="AB360" s="1">
        <f>-IF(BK20&gt;1,AA360,0)</f>
        <v>0</v>
      </c>
      <c r="AC360" s="1"/>
      <c r="AD360" s="230" t="str">
        <f>LOOKUP(Y35,squad!$B$18:$B$59,squad!$G$18:$G$59)</f>
        <v> </v>
      </c>
    </row>
    <row r="361" spans="1:30" ht="13.5" hidden="1" thickBot="1">
      <c r="A361" s="221" t="s">
        <v>14</v>
      </c>
      <c r="B361" s="26">
        <f t="shared" si="128"/>
        <v>0</v>
      </c>
      <c r="C361" s="2">
        <f t="shared" si="138"/>
        <v>0</v>
      </c>
      <c r="D361" s="26">
        <f>-IF(AM20&gt;1,C361,0)</f>
        <v>0</v>
      </c>
      <c r="E361" s="26"/>
      <c r="F361" s="231" t="str">
        <f>LOOKUP(A36,squad!$B$18:$B$59,squad!$G$18:$G$59)</f>
        <v> </v>
      </c>
      <c r="G361" s="221" t="s">
        <v>14</v>
      </c>
      <c r="H361" s="26">
        <f t="shared" si="129"/>
        <v>0</v>
      </c>
      <c r="I361" s="190">
        <f t="shared" si="139"/>
        <v>0</v>
      </c>
      <c r="J361" s="26">
        <f>-IF(AS20&gt;1,I361,0)</f>
        <v>0</v>
      </c>
      <c r="K361" s="26"/>
      <c r="L361" s="231" t="str">
        <f>LOOKUP(G36,squad!$B$18:$B$59,squad!$G$18:$G$59)</f>
        <v> </v>
      </c>
      <c r="M361" s="221" t="s">
        <v>14</v>
      </c>
      <c r="N361" s="26">
        <f t="shared" si="130"/>
        <v>0</v>
      </c>
      <c r="O361" s="190">
        <f t="shared" si="140"/>
        <v>0</v>
      </c>
      <c r="P361" s="26">
        <f>-IF(AY20&gt;1,O361,0)</f>
        <v>0</v>
      </c>
      <c r="Q361" s="26"/>
      <c r="R361" s="231" t="str">
        <f>LOOKUP(M36,squad!$B$18:$B$59,squad!$G$18:$G$59)</f>
        <v> </v>
      </c>
      <c r="S361" s="221" t="s">
        <v>14</v>
      </c>
      <c r="T361" s="26">
        <f t="shared" si="131"/>
        <v>0</v>
      </c>
      <c r="U361" s="190">
        <f t="shared" si="141"/>
        <v>0</v>
      </c>
      <c r="V361" s="26">
        <f>-IF(BE20&gt;1,U361,0)</f>
        <v>0</v>
      </c>
      <c r="W361" s="26"/>
      <c r="X361" s="231" t="str">
        <f>LOOKUP(S36,squad!$B$18:$B$59,squad!$G$18:$G$59)</f>
        <v> </v>
      </c>
      <c r="Y361" s="221" t="s">
        <v>14</v>
      </c>
      <c r="Z361" s="26">
        <f t="shared" si="132"/>
        <v>0</v>
      </c>
      <c r="AA361" s="190">
        <f t="shared" si="142"/>
        <v>0</v>
      </c>
      <c r="AB361" s="26">
        <f>-IF(BK20&gt;1,AA361,0)</f>
        <v>0</v>
      </c>
      <c r="AC361" s="26"/>
      <c r="AD361" s="231" t="str">
        <f>LOOKUP(Y36,squad!$B$18:$B$59,squad!$G$18:$G$59)</f>
        <v> </v>
      </c>
    </row>
    <row r="362" spans="1:30" ht="12.75" hidden="1">
      <c r="A362" s="222" t="s">
        <v>294</v>
      </c>
      <c r="B362" s="223"/>
      <c r="C362" s="223"/>
      <c r="D362" s="223"/>
      <c r="E362" s="223"/>
      <c r="F362" s="224"/>
      <c r="G362" s="222" t="s">
        <v>294</v>
      </c>
      <c r="H362" s="223"/>
      <c r="I362" s="223"/>
      <c r="J362" s="223"/>
      <c r="K362" s="223"/>
      <c r="L362" s="224"/>
      <c r="M362" s="222" t="s">
        <v>294</v>
      </c>
      <c r="N362" s="223"/>
      <c r="O362" s="223"/>
      <c r="P362" s="223"/>
      <c r="Q362" s="223"/>
      <c r="R362" s="224"/>
      <c r="S362" s="222" t="s">
        <v>294</v>
      </c>
      <c r="T362" s="223"/>
      <c r="U362" s="223"/>
      <c r="V362" s="223"/>
      <c r="W362" s="223"/>
      <c r="X362" s="224"/>
      <c r="Y362" s="222" t="s">
        <v>294</v>
      </c>
      <c r="Z362" s="223"/>
      <c r="AA362" s="223"/>
      <c r="AB362" s="223"/>
      <c r="AC362" s="223"/>
      <c r="AD362" s="224"/>
    </row>
    <row r="363" spans="1:30" ht="13.5" hidden="1" thickBot="1">
      <c r="A363" s="160"/>
      <c r="B363" s="161" t="s">
        <v>287</v>
      </c>
      <c r="C363" s="161"/>
      <c r="D363" s="161"/>
      <c r="E363" s="161"/>
      <c r="F363" s="225"/>
      <c r="G363" s="160"/>
      <c r="H363" s="161" t="s">
        <v>287</v>
      </c>
      <c r="I363" s="161"/>
      <c r="J363" s="161"/>
      <c r="K363" s="161"/>
      <c r="L363" s="225"/>
      <c r="M363" s="160"/>
      <c r="N363" s="161" t="s">
        <v>287</v>
      </c>
      <c r="O363" s="161"/>
      <c r="P363" s="161"/>
      <c r="Q363" s="161"/>
      <c r="R363" s="225"/>
      <c r="S363" s="160"/>
      <c r="T363" s="161" t="s">
        <v>287</v>
      </c>
      <c r="U363" s="161"/>
      <c r="V363" s="161"/>
      <c r="W363" s="161"/>
      <c r="X363" s="227"/>
      <c r="Y363" s="160"/>
      <c r="Z363" s="161" t="s">
        <v>287</v>
      </c>
      <c r="AA363" s="161"/>
      <c r="AB363" s="161"/>
      <c r="AC363" s="161"/>
      <c r="AD363" s="225"/>
    </row>
    <row r="364" spans="1:30" ht="13.5" hidden="1" thickBot="1">
      <c r="A364" s="25" t="s">
        <v>10</v>
      </c>
      <c r="B364" s="1">
        <f>AG17</f>
        <v>0</v>
      </c>
      <c r="C364" s="1"/>
      <c r="D364" s="1"/>
      <c r="E364" s="1"/>
      <c r="F364" s="232" t="str">
        <f>LOOKUP(A17,squad!$B$18:$B$59,squad!$G$18:$G$59)</f>
        <v> </v>
      </c>
      <c r="G364" s="226" t="s">
        <v>10</v>
      </c>
      <c r="H364" s="218">
        <f>AH17</f>
        <v>0</v>
      </c>
      <c r="I364" s="218"/>
      <c r="J364" s="218"/>
      <c r="K364" s="218"/>
      <c r="L364" s="232" t="str">
        <f>LOOKUP(G17,squad!$B$18:$B$59,squad!$G$18:$G$59)</f>
        <v> </v>
      </c>
      <c r="M364" s="226" t="s">
        <v>10</v>
      </c>
      <c r="N364" s="218">
        <f>AI17</f>
        <v>0</v>
      </c>
      <c r="O364" s="218"/>
      <c r="P364" s="218"/>
      <c r="Q364" s="218"/>
      <c r="R364" s="232" t="str">
        <f>LOOKUP(M17,squad!$B$18:$B$59,squad!$G$18:$G$59)</f>
        <v> </v>
      </c>
      <c r="S364" s="226" t="s">
        <v>10</v>
      </c>
      <c r="T364" s="218">
        <f>AJ17</f>
        <v>0</v>
      </c>
      <c r="U364" s="218"/>
      <c r="V364" s="218"/>
      <c r="W364" s="218"/>
      <c r="X364" s="232" t="str">
        <f>LOOKUP(S17,squad!$B$18:$B$59,squad!$G$18:$G$59)</f>
        <v> </v>
      </c>
      <c r="Y364" s="218" t="s">
        <v>10</v>
      </c>
      <c r="Z364" s="218">
        <f>AK17</f>
        <v>0</v>
      </c>
      <c r="AA364" s="218"/>
      <c r="AB364" s="218"/>
      <c r="AC364" s="218"/>
      <c r="AD364" s="232" t="str">
        <f>LOOKUP(Y17,squad!$B$18:$B$59,squad!$G$18:$G$59)</f>
        <v> </v>
      </c>
    </row>
    <row r="365" spans="1:30" ht="13.5" hidden="1" thickBot="1">
      <c r="A365" s="216" t="s">
        <v>11</v>
      </c>
      <c r="B365" s="217">
        <f aca="true" t="shared" si="143" ref="B365:B383">AG18</f>
        <v>0</v>
      </c>
      <c r="C365" s="217"/>
      <c r="D365" s="217"/>
      <c r="E365" s="217"/>
      <c r="F365" s="245" t="str">
        <f>LOOKUP(A18,squad!$B$18:$B$59,squad!$G$18:$G$59)</f>
        <v> </v>
      </c>
      <c r="G365" s="216" t="s">
        <v>11</v>
      </c>
      <c r="H365" s="217">
        <f aca="true" t="shared" si="144" ref="H365:H383">AH18</f>
        <v>0</v>
      </c>
      <c r="I365" s="217"/>
      <c r="J365" s="217"/>
      <c r="K365" s="217"/>
      <c r="L365" s="245" t="str">
        <f>LOOKUP(G18,squad!$B$18:$B$59,squad!$G$18:$G$59)</f>
        <v> </v>
      </c>
      <c r="M365" s="216" t="s">
        <v>11</v>
      </c>
      <c r="N365" s="217">
        <f aca="true" t="shared" si="145" ref="N365:N383">AI18</f>
        <v>0</v>
      </c>
      <c r="O365" s="217"/>
      <c r="P365" s="217"/>
      <c r="Q365" s="217"/>
      <c r="R365" s="245" t="str">
        <f>LOOKUP(M18,squad!$B$18:$B$59,squad!$G$18:$G$59)</f>
        <v> </v>
      </c>
      <c r="S365" s="216" t="s">
        <v>11</v>
      </c>
      <c r="T365" s="217">
        <f aca="true" t="shared" si="146" ref="T365:T383">AJ18</f>
        <v>0</v>
      </c>
      <c r="U365" s="217"/>
      <c r="V365" s="217"/>
      <c r="W365" s="217"/>
      <c r="X365" s="245" t="str">
        <f>LOOKUP(S18,squad!$B$18:$B$59,squad!$G$18:$G$59)</f>
        <v> </v>
      </c>
      <c r="Y365" s="217" t="s">
        <v>11</v>
      </c>
      <c r="Z365" s="217">
        <f aca="true" t="shared" si="147" ref="Z365:Z383">AK18</f>
        <v>0</v>
      </c>
      <c r="AA365" s="217"/>
      <c r="AB365" s="217"/>
      <c r="AC365" s="217"/>
      <c r="AD365" s="245" t="str">
        <f>LOOKUP(Y18,squad!$B$18:$B$59,squad!$G$18:$G$59)</f>
        <v> </v>
      </c>
    </row>
    <row r="366" spans="1:30" ht="12.75" hidden="1">
      <c r="A366" s="25" t="s">
        <v>12</v>
      </c>
      <c r="B366" s="1">
        <f t="shared" si="143"/>
        <v>0</v>
      </c>
      <c r="C366" s="1"/>
      <c r="D366" s="1"/>
      <c r="E366" s="1"/>
      <c r="F366" s="230" t="str">
        <f>LOOKUP(A19,squad!$B$18:$B$59,squad!$G$18:$G$59)</f>
        <v> </v>
      </c>
      <c r="G366" s="25" t="s">
        <v>12</v>
      </c>
      <c r="H366" s="1">
        <f t="shared" si="144"/>
        <v>0</v>
      </c>
      <c r="I366" s="1"/>
      <c r="J366" s="1"/>
      <c r="K366" s="1"/>
      <c r="L366" s="230" t="str">
        <f>LOOKUP(G19,squad!$B$18:$B$59,squad!$G$18:$G$59)</f>
        <v> </v>
      </c>
      <c r="M366" s="25" t="s">
        <v>12</v>
      </c>
      <c r="N366" s="1">
        <f t="shared" si="145"/>
        <v>0</v>
      </c>
      <c r="O366" s="1"/>
      <c r="P366" s="1"/>
      <c r="Q366" s="1"/>
      <c r="R366" s="230" t="str">
        <f>LOOKUP(M19,squad!$B$18:$B$59,squad!$G$18:$G$59)</f>
        <v> </v>
      </c>
      <c r="S366" s="25" t="s">
        <v>12</v>
      </c>
      <c r="T366" s="1">
        <f t="shared" si="146"/>
        <v>0</v>
      </c>
      <c r="U366" s="1"/>
      <c r="V366" s="1"/>
      <c r="W366" s="1"/>
      <c r="X366" s="230" t="str">
        <f>LOOKUP(S19,squad!$B$18:$B$59,squad!$G$18:$G$59)</f>
        <v> </v>
      </c>
      <c r="Y366" s="1" t="s">
        <v>12</v>
      </c>
      <c r="Z366" s="1">
        <f t="shared" si="147"/>
        <v>0</v>
      </c>
      <c r="AA366" s="1"/>
      <c r="AB366" s="1"/>
      <c r="AC366" s="1"/>
      <c r="AD366" s="230" t="str">
        <f>LOOKUP(Y19,squad!$B$18:$B$59,squad!$G$18:$G$59)</f>
        <v> </v>
      </c>
    </row>
    <row r="367" spans="1:30" ht="12.75" hidden="1">
      <c r="A367" s="25" t="s">
        <v>12</v>
      </c>
      <c r="B367" s="1">
        <f t="shared" si="143"/>
        <v>0</v>
      </c>
      <c r="C367" s="1"/>
      <c r="D367" s="1"/>
      <c r="E367" s="1"/>
      <c r="F367" s="230" t="str">
        <f>LOOKUP(A20,squad!$B$18:$B$59,squad!$G$18:$G$59)</f>
        <v> </v>
      </c>
      <c r="G367" s="25" t="s">
        <v>12</v>
      </c>
      <c r="H367" s="1">
        <f t="shared" si="144"/>
        <v>0</v>
      </c>
      <c r="I367" s="1"/>
      <c r="J367" s="1"/>
      <c r="K367" s="1"/>
      <c r="L367" s="230" t="str">
        <f>LOOKUP(G20,squad!$B$18:$B$59,squad!$G$18:$G$59)</f>
        <v> </v>
      </c>
      <c r="M367" s="25" t="s">
        <v>12</v>
      </c>
      <c r="N367" s="1">
        <f t="shared" si="145"/>
        <v>0</v>
      </c>
      <c r="O367" s="1"/>
      <c r="P367" s="1"/>
      <c r="Q367" s="1"/>
      <c r="R367" s="230" t="str">
        <f>LOOKUP(M20,squad!$B$18:$B$59,squad!$G$18:$G$59)</f>
        <v> </v>
      </c>
      <c r="S367" s="25" t="s">
        <v>12</v>
      </c>
      <c r="T367" s="1">
        <f t="shared" si="146"/>
        <v>0</v>
      </c>
      <c r="U367" s="1"/>
      <c r="V367" s="1"/>
      <c r="W367" s="1"/>
      <c r="X367" s="230" t="str">
        <f>LOOKUP(S20,squad!$B$18:$B$59,squad!$G$18:$G$59)</f>
        <v> </v>
      </c>
      <c r="Y367" s="1" t="s">
        <v>12</v>
      </c>
      <c r="Z367" s="1">
        <f t="shared" si="147"/>
        <v>0</v>
      </c>
      <c r="AA367" s="1"/>
      <c r="AB367" s="1"/>
      <c r="AC367" s="1"/>
      <c r="AD367" s="230" t="str">
        <f>LOOKUP(Y20,squad!$B$18:$B$59,squad!$G$18:$G$59)</f>
        <v> </v>
      </c>
    </row>
    <row r="368" spans="1:30" ht="12.75" hidden="1">
      <c r="A368" s="25" t="s">
        <v>12</v>
      </c>
      <c r="B368" s="1">
        <f t="shared" si="143"/>
        <v>0</v>
      </c>
      <c r="C368" s="1"/>
      <c r="D368" s="1"/>
      <c r="E368" s="1"/>
      <c r="F368" s="230" t="str">
        <f>LOOKUP(A21,squad!$B$18:$B$59,squad!$G$18:$G$59)</f>
        <v> </v>
      </c>
      <c r="G368" s="25" t="s">
        <v>12</v>
      </c>
      <c r="H368" s="1">
        <f t="shared" si="144"/>
        <v>0</v>
      </c>
      <c r="I368" s="1"/>
      <c r="J368" s="1"/>
      <c r="K368" s="1"/>
      <c r="L368" s="230" t="str">
        <f>LOOKUP(G21,squad!$B$18:$B$59,squad!$G$18:$G$59)</f>
        <v> </v>
      </c>
      <c r="M368" s="25" t="s">
        <v>12</v>
      </c>
      <c r="N368" s="1">
        <f t="shared" si="145"/>
        <v>0</v>
      </c>
      <c r="O368" s="1"/>
      <c r="P368" s="1"/>
      <c r="Q368" s="1"/>
      <c r="R368" s="230" t="str">
        <f>LOOKUP(M21,squad!$B$18:$B$59,squad!$G$18:$G$59)</f>
        <v> </v>
      </c>
      <c r="S368" s="25" t="s">
        <v>12</v>
      </c>
      <c r="T368" s="1">
        <f t="shared" si="146"/>
        <v>0</v>
      </c>
      <c r="U368" s="1"/>
      <c r="V368" s="1"/>
      <c r="W368" s="1"/>
      <c r="X368" s="230" t="str">
        <f>LOOKUP(S21,squad!$B$18:$B$59,squad!$G$18:$G$59)</f>
        <v> </v>
      </c>
      <c r="Y368" s="1" t="s">
        <v>12</v>
      </c>
      <c r="Z368" s="1">
        <f t="shared" si="147"/>
        <v>0</v>
      </c>
      <c r="AA368" s="1"/>
      <c r="AB368" s="1"/>
      <c r="AC368" s="1"/>
      <c r="AD368" s="230" t="str">
        <f>LOOKUP(Y21,squad!$B$18:$B$59,squad!$G$18:$G$59)</f>
        <v> </v>
      </c>
    </row>
    <row r="369" spans="1:30" ht="12.75" hidden="1">
      <c r="A369" s="25" t="s">
        <v>12</v>
      </c>
      <c r="B369" s="1">
        <f t="shared" si="143"/>
        <v>0</v>
      </c>
      <c r="C369" s="1"/>
      <c r="D369" s="1"/>
      <c r="E369" s="1"/>
      <c r="F369" s="230" t="str">
        <f>LOOKUP(A22,squad!$B$18:$B$59,squad!$G$18:$G$59)</f>
        <v> </v>
      </c>
      <c r="G369" s="25" t="s">
        <v>12</v>
      </c>
      <c r="H369" s="1">
        <f t="shared" si="144"/>
        <v>0</v>
      </c>
      <c r="I369" s="1"/>
      <c r="J369" s="1"/>
      <c r="K369" s="1"/>
      <c r="L369" s="230" t="str">
        <f>LOOKUP(G22,squad!$B$18:$B$59,squad!$G$18:$G$59)</f>
        <v> </v>
      </c>
      <c r="M369" s="25" t="s">
        <v>12</v>
      </c>
      <c r="N369" s="1">
        <f t="shared" si="145"/>
        <v>0</v>
      </c>
      <c r="O369" s="1"/>
      <c r="P369" s="1"/>
      <c r="Q369" s="1"/>
      <c r="R369" s="230" t="str">
        <f>LOOKUP(M22,squad!$B$18:$B$59,squad!$G$18:$G$59)</f>
        <v> </v>
      </c>
      <c r="S369" s="25" t="s">
        <v>12</v>
      </c>
      <c r="T369" s="1">
        <f t="shared" si="146"/>
        <v>0</v>
      </c>
      <c r="U369" s="1"/>
      <c r="V369" s="1"/>
      <c r="W369" s="1"/>
      <c r="X369" s="230" t="str">
        <f>LOOKUP(S22,squad!$B$18:$B$59,squad!$G$18:$G$59)</f>
        <v> </v>
      </c>
      <c r="Y369" s="1" t="s">
        <v>12</v>
      </c>
      <c r="Z369" s="1">
        <f t="shared" si="147"/>
        <v>0</v>
      </c>
      <c r="AA369" s="1"/>
      <c r="AB369" s="1"/>
      <c r="AC369" s="1"/>
      <c r="AD369" s="230" t="str">
        <f>LOOKUP(Y22,squad!$B$18:$B$59,squad!$G$18:$G$59)</f>
        <v> </v>
      </c>
    </row>
    <row r="370" spans="1:30" ht="12.75" hidden="1">
      <c r="A370" s="25" t="s">
        <v>12</v>
      </c>
      <c r="B370" s="1">
        <f t="shared" si="143"/>
        <v>0</v>
      </c>
      <c r="C370" s="1"/>
      <c r="D370" s="1"/>
      <c r="E370" s="1"/>
      <c r="F370" s="230" t="str">
        <f>LOOKUP(A23,squad!$B$18:$B$59,squad!$G$18:$G$59)</f>
        <v> </v>
      </c>
      <c r="G370" s="25" t="s">
        <v>12</v>
      </c>
      <c r="H370" s="1">
        <f t="shared" si="144"/>
        <v>0</v>
      </c>
      <c r="I370" s="1"/>
      <c r="J370" s="1"/>
      <c r="K370" s="1"/>
      <c r="L370" s="230" t="str">
        <f>LOOKUP(G23,squad!$B$18:$B$59,squad!$G$18:$G$59)</f>
        <v> </v>
      </c>
      <c r="M370" s="25" t="s">
        <v>12</v>
      </c>
      <c r="N370" s="1">
        <f t="shared" si="145"/>
        <v>0</v>
      </c>
      <c r="O370" s="1"/>
      <c r="P370" s="1"/>
      <c r="Q370" s="1"/>
      <c r="R370" s="230" t="str">
        <f>LOOKUP(M23,squad!$B$18:$B$59,squad!$G$18:$G$59)</f>
        <v> </v>
      </c>
      <c r="S370" s="25" t="s">
        <v>12</v>
      </c>
      <c r="T370" s="1">
        <f t="shared" si="146"/>
        <v>0</v>
      </c>
      <c r="U370" s="1"/>
      <c r="V370" s="1"/>
      <c r="W370" s="1"/>
      <c r="X370" s="230" t="str">
        <f>LOOKUP(S23,squad!$B$18:$B$59,squad!$G$18:$G$59)</f>
        <v> </v>
      </c>
      <c r="Y370" s="1" t="s">
        <v>12</v>
      </c>
      <c r="Z370" s="1">
        <f t="shared" si="147"/>
        <v>0</v>
      </c>
      <c r="AA370" s="1"/>
      <c r="AB370" s="1"/>
      <c r="AC370" s="1"/>
      <c r="AD370" s="230" t="str">
        <f>LOOKUP(Y23,squad!$B$18:$B$59,squad!$G$18:$G$59)</f>
        <v> </v>
      </c>
    </row>
    <row r="371" spans="1:30" ht="13.5" hidden="1" thickBot="1">
      <c r="A371" s="25" t="s">
        <v>12</v>
      </c>
      <c r="B371" s="1">
        <f t="shared" si="143"/>
        <v>0</v>
      </c>
      <c r="C371" s="1"/>
      <c r="D371" s="1"/>
      <c r="E371" s="1"/>
      <c r="F371" s="230" t="str">
        <f>LOOKUP(A24,squad!$B$18:$B$59,squad!$G$18:$G$59)</f>
        <v> </v>
      </c>
      <c r="G371" s="25" t="s">
        <v>12</v>
      </c>
      <c r="H371" s="1">
        <f t="shared" si="144"/>
        <v>0</v>
      </c>
      <c r="I371" s="1"/>
      <c r="J371" s="1"/>
      <c r="K371" s="1"/>
      <c r="L371" s="230" t="str">
        <f>LOOKUP(G24,squad!$B$18:$B$59,squad!$G$18:$G$59)</f>
        <v> </v>
      </c>
      <c r="M371" s="25" t="s">
        <v>12</v>
      </c>
      <c r="N371" s="1">
        <f t="shared" si="145"/>
        <v>0</v>
      </c>
      <c r="O371" s="1"/>
      <c r="P371" s="1"/>
      <c r="Q371" s="1"/>
      <c r="R371" s="230" t="str">
        <f>LOOKUP(M24,squad!$B$18:$B$59,squad!$G$18:$G$59)</f>
        <v> </v>
      </c>
      <c r="S371" s="25" t="s">
        <v>12</v>
      </c>
      <c r="T371" s="1">
        <f t="shared" si="146"/>
        <v>0</v>
      </c>
      <c r="U371" s="1"/>
      <c r="V371" s="1"/>
      <c r="W371" s="1"/>
      <c r="X371" s="230" t="str">
        <f>LOOKUP(S24,squad!$B$18:$B$59,squad!$G$18:$G$59)</f>
        <v> </v>
      </c>
      <c r="Y371" s="1" t="s">
        <v>12</v>
      </c>
      <c r="Z371" s="1">
        <f t="shared" si="147"/>
        <v>0</v>
      </c>
      <c r="AA371" s="1"/>
      <c r="AB371" s="1"/>
      <c r="AC371" s="1"/>
      <c r="AD371" s="230" t="str">
        <f>LOOKUP(Y24,squad!$B$18:$B$59,squad!$G$18:$G$59)</f>
        <v> </v>
      </c>
    </row>
    <row r="372" spans="1:30" ht="13.5" hidden="1" thickBot="1">
      <c r="A372" s="226" t="s">
        <v>13</v>
      </c>
      <c r="B372" s="218">
        <f t="shared" si="143"/>
        <v>0</v>
      </c>
      <c r="C372" s="218">
        <f aca="true" t="shared" si="148" ref="C372:C377">IF(B372="DM",IF(F372="I",1,IF(F372="II",2,IF(F372="III",3,IF(F372="IV",4,IF(F372="V",5,0))))),0)</f>
        <v>0</v>
      </c>
      <c r="D372" s="218"/>
      <c r="E372" s="218"/>
      <c r="F372" s="232" t="str">
        <f>LOOKUP(A25,squad!$B$18:$B$59,squad!$G$18:$G$59)</f>
        <v> </v>
      </c>
      <c r="G372" s="218" t="s">
        <v>13</v>
      </c>
      <c r="H372" s="218">
        <f t="shared" si="144"/>
        <v>0</v>
      </c>
      <c r="I372" s="218">
        <f aca="true" t="shared" si="149" ref="I372:I377">IF(H372="DM",IF(L372="I",1,IF(L372="II",2,IF(L372="III",3,IF(L372="IV",4,IF(L372="V",5,0))))),0)</f>
        <v>0</v>
      </c>
      <c r="J372" s="218"/>
      <c r="K372" s="218"/>
      <c r="L372" s="232" t="str">
        <f>LOOKUP(G25,squad!$B$18:$B$59,squad!$G$18:$G$59)</f>
        <v> </v>
      </c>
      <c r="M372" s="218" t="s">
        <v>13</v>
      </c>
      <c r="N372" s="218">
        <f t="shared" si="145"/>
        <v>0</v>
      </c>
      <c r="O372" s="218">
        <f aca="true" t="shared" si="150" ref="O372:O377">IF(N372="DM",IF(R372="I",1,IF(R372="II",2,IF(R372="III",3,IF(R372="IV",4,IF(R372="V",5,0))))),0)</f>
        <v>0</v>
      </c>
      <c r="P372" s="218"/>
      <c r="Q372" s="218"/>
      <c r="R372" s="232" t="str">
        <f>LOOKUP(M25,squad!$B$18:$B$59,squad!$G$18:$G$59)</f>
        <v> </v>
      </c>
      <c r="S372" s="218" t="s">
        <v>13</v>
      </c>
      <c r="T372" s="218">
        <f t="shared" si="146"/>
        <v>0</v>
      </c>
      <c r="U372" s="218">
        <f aca="true" t="shared" si="151" ref="U372:U377">IF(T372="DM",IF(X372="I",1,IF(X372="II",2,IF(X372="III",3,IF(X372="IV",4,IF(X372="V",5,0))))),0)</f>
        <v>0</v>
      </c>
      <c r="V372" s="218"/>
      <c r="W372" s="218"/>
      <c r="X372" s="232" t="str">
        <f>LOOKUP(S25,squad!$B$18:$B$59,squad!$G$18:$G$59)</f>
        <v> </v>
      </c>
      <c r="Y372" s="218" t="s">
        <v>13</v>
      </c>
      <c r="Z372" s="218">
        <f t="shared" si="147"/>
        <v>0</v>
      </c>
      <c r="AA372" s="218">
        <f aca="true" t="shared" si="152" ref="AA372:AA377">IF(Z372="DM",IF(AD372="I",1,IF(AD372="II",2,IF(AD372="III",3,IF(AD372="IV",4,IF(AD372="V",5,0))))),0)</f>
        <v>0</v>
      </c>
      <c r="AB372" s="218"/>
      <c r="AC372" s="218"/>
      <c r="AD372" s="232" t="str">
        <f>LOOKUP(Y25,squad!$B$18:$B$59,squad!$G$18:$G$59)</f>
        <v> </v>
      </c>
    </row>
    <row r="373" spans="1:30" ht="13.5" hidden="1" thickBot="1">
      <c r="A373" s="25" t="s">
        <v>13</v>
      </c>
      <c r="B373" s="1">
        <f t="shared" si="143"/>
        <v>0</v>
      </c>
      <c r="C373" s="218">
        <f t="shared" si="148"/>
        <v>0</v>
      </c>
      <c r="D373" s="1"/>
      <c r="E373" s="1"/>
      <c r="F373" s="230" t="str">
        <f>LOOKUP(A26,squad!$B$18:$B$59,squad!$G$18:$G$59)</f>
        <v> </v>
      </c>
      <c r="G373" s="1" t="s">
        <v>13</v>
      </c>
      <c r="H373" s="1">
        <f t="shared" si="144"/>
        <v>0</v>
      </c>
      <c r="I373" s="218">
        <f t="shared" si="149"/>
        <v>0</v>
      </c>
      <c r="J373" s="1"/>
      <c r="K373" s="1"/>
      <c r="L373" s="230" t="str">
        <f>LOOKUP(G26,squad!$B$18:$B$59,squad!$G$18:$G$59)</f>
        <v> </v>
      </c>
      <c r="M373" s="1" t="s">
        <v>13</v>
      </c>
      <c r="N373" s="1">
        <f t="shared" si="145"/>
        <v>0</v>
      </c>
      <c r="O373" s="218">
        <f t="shared" si="150"/>
        <v>0</v>
      </c>
      <c r="P373" s="1"/>
      <c r="Q373" s="1"/>
      <c r="R373" s="230" t="str">
        <f>LOOKUP(M26,squad!$B$18:$B$59,squad!$G$18:$G$59)</f>
        <v> </v>
      </c>
      <c r="S373" s="1" t="s">
        <v>13</v>
      </c>
      <c r="T373" s="1">
        <f t="shared" si="146"/>
        <v>0</v>
      </c>
      <c r="U373" s="218">
        <f t="shared" si="151"/>
        <v>0</v>
      </c>
      <c r="V373" s="1"/>
      <c r="W373" s="1"/>
      <c r="X373" s="230" t="str">
        <f>LOOKUP(S26,squad!$B$18:$B$59,squad!$G$18:$G$59)</f>
        <v> </v>
      </c>
      <c r="Y373" s="1" t="s">
        <v>13</v>
      </c>
      <c r="Z373" s="1">
        <f t="shared" si="147"/>
        <v>0</v>
      </c>
      <c r="AA373" s="218">
        <f t="shared" si="152"/>
        <v>0</v>
      </c>
      <c r="AB373" s="1"/>
      <c r="AC373" s="1"/>
      <c r="AD373" s="230" t="str">
        <f>LOOKUP(Y26,squad!$B$18:$B$59,squad!$G$18:$G$59)</f>
        <v> </v>
      </c>
    </row>
    <row r="374" spans="1:30" ht="13.5" hidden="1" thickBot="1">
      <c r="A374" s="25" t="s">
        <v>13</v>
      </c>
      <c r="B374" s="1">
        <f t="shared" si="143"/>
        <v>0</v>
      </c>
      <c r="C374" s="218">
        <f t="shared" si="148"/>
        <v>0</v>
      </c>
      <c r="D374" s="1"/>
      <c r="E374" s="1"/>
      <c r="F374" s="230" t="str">
        <f>LOOKUP(A27,squad!$B$18:$B$59,squad!$G$18:$G$59)</f>
        <v> </v>
      </c>
      <c r="G374" s="1" t="s">
        <v>13</v>
      </c>
      <c r="H374" s="1">
        <f t="shared" si="144"/>
        <v>0</v>
      </c>
      <c r="I374" s="218">
        <f t="shared" si="149"/>
        <v>0</v>
      </c>
      <c r="J374" s="1"/>
      <c r="K374" s="1"/>
      <c r="L374" s="230" t="str">
        <f>LOOKUP(G27,squad!$B$18:$B$59,squad!$G$18:$G$59)</f>
        <v> </v>
      </c>
      <c r="M374" s="1" t="s">
        <v>13</v>
      </c>
      <c r="N374" s="1">
        <f t="shared" si="145"/>
        <v>0</v>
      </c>
      <c r="O374" s="218">
        <f t="shared" si="150"/>
        <v>0</v>
      </c>
      <c r="P374" s="1"/>
      <c r="Q374" s="1"/>
      <c r="R374" s="230" t="str">
        <f>LOOKUP(M27,squad!$B$18:$B$59,squad!$G$18:$G$59)</f>
        <v> </v>
      </c>
      <c r="S374" s="1" t="s">
        <v>13</v>
      </c>
      <c r="T374" s="1">
        <f t="shared" si="146"/>
        <v>0</v>
      </c>
      <c r="U374" s="218">
        <f t="shared" si="151"/>
        <v>0</v>
      </c>
      <c r="V374" s="1"/>
      <c r="W374" s="1"/>
      <c r="X374" s="230" t="str">
        <f>LOOKUP(S27,squad!$B$18:$B$59,squad!$G$18:$G$59)</f>
        <v> </v>
      </c>
      <c r="Y374" s="1" t="s">
        <v>13</v>
      </c>
      <c r="Z374" s="1">
        <f t="shared" si="147"/>
        <v>0</v>
      </c>
      <c r="AA374" s="218">
        <f t="shared" si="152"/>
        <v>0</v>
      </c>
      <c r="AB374" s="1"/>
      <c r="AC374" s="1"/>
      <c r="AD374" s="230" t="str">
        <f>LOOKUP(Y27,squad!$B$18:$B$59,squad!$G$18:$G$59)</f>
        <v> </v>
      </c>
    </row>
    <row r="375" spans="1:30" ht="13.5" hidden="1" thickBot="1">
      <c r="A375" s="25" t="s">
        <v>13</v>
      </c>
      <c r="B375" s="1">
        <f t="shared" si="143"/>
        <v>0</v>
      </c>
      <c r="C375" s="218">
        <f t="shared" si="148"/>
        <v>0</v>
      </c>
      <c r="D375" s="1"/>
      <c r="E375" s="1"/>
      <c r="F375" s="230" t="str">
        <f>LOOKUP(A28,squad!$B$18:$B$59,squad!$G$18:$G$59)</f>
        <v> </v>
      </c>
      <c r="G375" s="1" t="s">
        <v>13</v>
      </c>
      <c r="H375" s="1">
        <f t="shared" si="144"/>
        <v>0</v>
      </c>
      <c r="I375" s="218">
        <f t="shared" si="149"/>
        <v>0</v>
      </c>
      <c r="J375" s="1"/>
      <c r="K375" s="1"/>
      <c r="L375" s="230" t="str">
        <f>LOOKUP(G28,squad!$B$18:$B$59,squad!$G$18:$G$59)</f>
        <v> </v>
      </c>
      <c r="M375" s="1" t="s">
        <v>13</v>
      </c>
      <c r="N375" s="1">
        <f t="shared" si="145"/>
        <v>0</v>
      </c>
      <c r="O375" s="218">
        <f t="shared" si="150"/>
        <v>0</v>
      </c>
      <c r="P375" s="1"/>
      <c r="Q375" s="1"/>
      <c r="R375" s="230" t="str">
        <f>LOOKUP(M28,squad!$B$18:$B$59,squad!$G$18:$G$59)</f>
        <v> </v>
      </c>
      <c r="S375" s="1" t="s">
        <v>13</v>
      </c>
      <c r="T375" s="1">
        <f t="shared" si="146"/>
        <v>0</v>
      </c>
      <c r="U375" s="218">
        <f t="shared" si="151"/>
        <v>0</v>
      </c>
      <c r="V375" s="1"/>
      <c r="W375" s="1"/>
      <c r="X375" s="230" t="str">
        <f>LOOKUP(S28,squad!$B$18:$B$59,squad!$G$18:$G$59)</f>
        <v> </v>
      </c>
      <c r="Y375" s="1" t="s">
        <v>13</v>
      </c>
      <c r="Z375" s="1">
        <f t="shared" si="147"/>
        <v>0</v>
      </c>
      <c r="AA375" s="218">
        <f t="shared" si="152"/>
        <v>0</v>
      </c>
      <c r="AB375" s="1"/>
      <c r="AC375" s="1"/>
      <c r="AD375" s="230" t="str">
        <f>LOOKUP(Y28,squad!$B$18:$B$59,squad!$G$18:$G$59)</f>
        <v> </v>
      </c>
    </row>
    <row r="376" spans="1:30" ht="13.5" hidden="1" thickBot="1">
      <c r="A376" s="25" t="s">
        <v>13</v>
      </c>
      <c r="B376" s="1">
        <f t="shared" si="143"/>
        <v>0</v>
      </c>
      <c r="C376" s="218">
        <f t="shared" si="148"/>
        <v>0</v>
      </c>
      <c r="D376" s="1"/>
      <c r="E376" s="1"/>
      <c r="F376" s="230" t="str">
        <f>LOOKUP(A29,squad!$B$18:$B$59,squad!$G$18:$G$59)</f>
        <v> </v>
      </c>
      <c r="G376" s="1" t="s">
        <v>13</v>
      </c>
      <c r="H376" s="1">
        <f t="shared" si="144"/>
        <v>0</v>
      </c>
      <c r="I376" s="218">
        <f t="shared" si="149"/>
        <v>0</v>
      </c>
      <c r="J376" s="1"/>
      <c r="K376" s="1"/>
      <c r="L376" s="230" t="str">
        <f>LOOKUP(G29,squad!$B$18:$B$59,squad!$G$18:$G$59)</f>
        <v> </v>
      </c>
      <c r="M376" s="1" t="s">
        <v>13</v>
      </c>
      <c r="N376" s="1">
        <f t="shared" si="145"/>
        <v>0</v>
      </c>
      <c r="O376" s="218">
        <f t="shared" si="150"/>
        <v>0</v>
      </c>
      <c r="P376" s="1"/>
      <c r="Q376" s="1"/>
      <c r="R376" s="230" t="str">
        <f>LOOKUP(M29,squad!$B$18:$B$59,squad!$G$18:$G$59)</f>
        <v> </v>
      </c>
      <c r="S376" s="1" t="s">
        <v>13</v>
      </c>
      <c r="T376" s="1">
        <f t="shared" si="146"/>
        <v>0</v>
      </c>
      <c r="U376" s="218">
        <f t="shared" si="151"/>
        <v>0</v>
      </c>
      <c r="V376" s="1"/>
      <c r="W376" s="1"/>
      <c r="X376" s="230" t="str">
        <f>LOOKUP(S29,squad!$B$18:$B$59,squad!$G$18:$G$59)</f>
        <v> </v>
      </c>
      <c r="Y376" s="1" t="s">
        <v>13</v>
      </c>
      <c r="Z376" s="1">
        <f t="shared" si="147"/>
        <v>0</v>
      </c>
      <c r="AA376" s="218">
        <f t="shared" si="152"/>
        <v>0</v>
      </c>
      <c r="AB376" s="1"/>
      <c r="AC376" s="1"/>
      <c r="AD376" s="230" t="str">
        <f>LOOKUP(Y29,squad!$B$18:$B$59,squad!$G$18:$G$59)</f>
        <v> </v>
      </c>
    </row>
    <row r="377" spans="1:30" ht="13.5" hidden="1" thickBot="1">
      <c r="A377" s="221" t="s">
        <v>13</v>
      </c>
      <c r="B377" s="26">
        <f t="shared" si="143"/>
        <v>0</v>
      </c>
      <c r="C377" s="218">
        <f t="shared" si="148"/>
        <v>0</v>
      </c>
      <c r="D377" s="26"/>
      <c r="E377" s="26"/>
      <c r="F377" s="231" t="str">
        <f>LOOKUP(A30,squad!$B$18:$B$59,squad!$G$18:$G$59)</f>
        <v> </v>
      </c>
      <c r="G377" s="26" t="s">
        <v>13</v>
      </c>
      <c r="H377" s="26">
        <f t="shared" si="144"/>
        <v>0</v>
      </c>
      <c r="I377" s="218">
        <f t="shared" si="149"/>
        <v>0</v>
      </c>
      <c r="J377" s="26"/>
      <c r="K377" s="26"/>
      <c r="L377" s="231" t="str">
        <f>LOOKUP(G30,squad!$B$18:$B$59,squad!$G$18:$G$59)</f>
        <v> </v>
      </c>
      <c r="M377" s="26" t="s">
        <v>13</v>
      </c>
      <c r="N377" s="26">
        <f t="shared" si="145"/>
        <v>0</v>
      </c>
      <c r="O377" s="218">
        <f t="shared" si="150"/>
        <v>0</v>
      </c>
      <c r="P377" s="26"/>
      <c r="Q377" s="26"/>
      <c r="R377" s="231" t="str">
        <f>LOOKUP(M30,squad!$B$18:$B$59,squad!$G$18:$G$59)</f>
        <v> </v>
      </c>
      <c r="S377" s="26" t="s">
        <v>13</v>
      </c>
      <c r="T377" s="26">
        <f t="shared" si="146"/>
        <v>0</v>
      </c>
      <c r="U377" s="218">
        <f t="shared" si="151"/>
        <v>0</v>
      </c>
      <c r="V377" s="26"/>
      <c r="W377" s="26"/>
      <c r="X377" s="231" t="str">
        <f>LOOKUP(S30,squad!$B$18:$B$59,squad!$G$18:$G$59)</f>
        <v> </v>
      </c>
      <c r="Y377" s="26" t="s">
        <v>13</v>
      </c>
      <c r="Z377" s="26">
        <f t="shared" si="147"/>
        <v>0</v>
      </c>
      <c r="AA377" s="218">
        <f t="shared" si="152"/>
        <v>0</v>
      </c>
      <c r="AB377" s="26"/>
      <c r="AC377" s="26"/>
      <c r="AD377" s="231" t="str">
        <f>LOOKUP(Y30,squad!$B$18:$B$59,squad!$G$18:$G$59)</f>
        <v> </v>
      </c>
    </row>
    <row r="378" spans="1:30" ht="12.75" hidden="1">
      <c r="A378" s="25" t="s">
        <v>14</v>
      </c>
      <c r="B378" s="1">
        <f t="shared" si="143"/>
        <v>0</v>
      </c>
      <c r="C378" s="2">
        <f aca="true" t="shared" si="153" ref="C378:C383">IF(B378="LS",INT(F53/2),0)</f>
        <v>0</v>
      </c>
      <c r="D378" s="1">
        <f>-IF(AM42&gt;1,C378,0)</f>
        <v>0</v>
      </c>
      <c r="E378" s="1"/>
      <c r="F378" s="230" t="str">
        <f>LOOKUP(A31,squad!$B$18:$B$59,squad!$G$18:$G$59)</f>
        <v> </v>
      </c>
      <c r="G378" s="25" t="s">
        <v>14</v>
      </c>
      <c r="H378" s="1">
        <f t="shared" si="144"/>
        <v>0</v>
      </c>
      <c r="I378" s="2">
        <f aca="true" t="shared" si="154" ref="I378:I383">IF(H378="LS",INT(L53/2),0)</f>
        <v>0</v>
      </c>
      <c r="J378" s="1">
        <f>-IF(AS42&gt;1,I378,0)</f>
        <v>0</v>
      </c>
      <c r="K378" s="1"/>
      <c r="L378" s="230" t="str">
        <f>LOOKUP(G31,squad!$B$18:$B$59,squad!$G$18:$G$59)</f>
        <v> </v>
      </c>
      <c r="M378" s="25" t="s">
        <v>14</v>
      </c>
      <c r="N378" s="1">
        <f t="shared" si="145"/>
        <v>0</v>
      </c>
      <c r="O378" s="2">
        <f aca="true" t="shared" si="155" ref="O378:O383">IF(N378="LS",INT(R53/2),0)</f>
        <v>0</v>
      </c>
      <c r="P378" s="1">
        <f>-IF(AY42&gt;1,O378,0)</f>
        <v>0</v>
      </c>
      <c r="Q378" s="1"/>
      <c r="R378" s="230" t="str">
        <f>LOOKUP(M31,squad!$B$18:$B$59,squad!$G$18:$G$59)</f>
        <v> </v>
      </c>
      <c r="S378" s="25" t="s">
        <v>14</v>
      </c>
      <c r="T378" s="1">
        <f t="shared" si="146"/>
        <v>0</v>
      </c>
      <c r="U378" s="2">
        <f aca="true" t="shared" si="156" ref="U378:U383">IF(T378="LS",INT(X53/2),0)</f>
        <v>0</v>
      </c>
      <c r="V378" s="1">
        <f>-IF(BE42&gt;1,U378,0)</f>
        <v>0</v>
      </c>
      <c r="W378" s="1"/>
      <c r="X378" s="230" t="str">
        <f>LOOKUP(S31,squad!$B$18:$B$59,squad!$G$18:$G$59)</f>
        <v> </v>
      </c>
      <c r="Y378" s="1" t="s">
        <v>14</v>
      </c>
      <c r="Z378" s="1">
        <f t="shared" si="147"/>
        <v>0</v>
      </c>
      <c r="AA378" s="2">
        <f aca="true" t="shared" si="157" ref="AA378:AA383">IF(Z378="LS",INT(AD53/2),0)</f>
        <v>0</v>
      </c>
      <c r="AB378" s="1">
        <f>-IF(BK42&gt;1,AA378,0)</f>
        <v>0</v>
      </c>
      <c r="AC378" s="1"/>
      <c r="AD378" s="230" t="str">
        <f>LOOKUP(Y31,squad!$B$18:$B$59,squad!$G$18:$G$59)</f>
        <v> </v>
      </c>
    </row>
    <row r="379" spans="1:30" ht="12.75" hidden="1">
      <c r="A379" s="25" t="s">
        <v>14</v>
      </c>
      <c r="B379" s="1">
        <f t="shared" si="143"/>
        <v>0</v>
      </c>
      <c r="C379" s="2">
        <f t="shared" si="153"/>
        <v>0</v>
      </c>
      <c r="D379" s="1">
        <f>-IF(AM42&gt;1,C379,0)</f>
        <v>0</v>
      </c>
      <c r="E379" s="1"/>
      <c r="F379" s="230" t="str">
        <f>LOOKUP(A32,squad!$B$18:$B$59,squad!$G$18:$G$59)</f>
        <v> </v>
      </c>
      <c r="G379" s="25" t="s">
        <v>14</v>
      </c>
      <c r="H379" s="1">
        <f t="shared" si="144"/>
        <v>0</v>
      </c>
      <c r="I379" s="2">
        <f t="shared" si="154"/>
        <v>0</v>
      </c>
      <c r="J379" s="1">
        <f>-IF(AS42&gt;1,I379,0)</f>
        <v>0</v>
      </c>
      <c r="K379" s="1"/>
      <c r="L379" s="230" t="str">
        <f>LOOKUP(G32,squad!$B$18:$B$59,squad!$G$18:$G$59)</f>
        <v> </v>
      </c>
      <c r="M379" s="25" t="s">
        <v>14</v>
      </c>
      <c r="N379" s="1">
        <f t="shared" si="145"/>
        <v>0</v>
      </c>
      <c r="O379" s="2">
        <f t="shared" si="155"/>
        <v>0</v>
      </c>
      <c r="P379" s="1">
        <f>-IF(AY42&gt;1,O379,0)</f>
        <v>0</v>
      </c>
      <c r="Q379" s="1"/>
      <c r="R379" s="230" t="str">
        <f>LOOKUP(M32,squad!$B$18:$B$59,squad!$G$18:$G$59)</f>
        <v> </v>
      </c>
      <c r="S379" s="25" t="s">
        <v>14</v>
      </c>
      <c r="T379" s="1">
        <f t="shared" si="146"/>
        <v>0</v>
      </c>
      <c r="U379" s="2">
        <f t="shared" si="156"/>
        <v>0</v>
      </c>
      <c r="V379" s="1">
        <f>-IF(BE42&gt;1,U379,0)</f>
        <v>0</v>
      </c>
      <c r="W379" s="1"/>
      <c r="X379" s="230" t="str">
        <f>LOOKUP(S32,squad!$B$18:$B$59,squad!$G$18:$G$59)</f>
        <v> </v>
      </c>
      <c r="Y379" s="1" t="s">
        <v>14</v>
      </c>
      <c r="Z379" s="1">
        <f t="shared" si="147"/>
        <v>0</v>
      </c>
      <c r="AA379" s="2">
        <f t="shared" si="157"/>
        <v>0</v>
      </c>
      <c r="AB379" s="1">
        <f>-IF(BK42&gt;1,AA379,0)</f>
        <v>0</v>
      </c>
      <c r="AC379" s="1"/>
      <c r="AD379" s="230" t="str">
        <f>LOOKUP(Y32,squad!$B$18:$B$59,squad!$G$18:$G$59)</f>
        <v> </v>
      </c>
    </row>
    <row r="380" spans="1:30" ht="12.75" hidden="1">
      <c r="A380" s="25" t="s">
        <v>14</v>
      </c>
      <c r="B380" s="1">
        <f t="shared" si="143"/>
        <v>0</v>
      </c>
      <c r="C380" s="2">
        <f t="shared" si="153"/>
        <v>0</v>
      </c>
      <c r="D380" s="1">
        <f>-IF(AM42&gt;1,C380,0)</f>
        <v>0</v>
      </c>
      <c r="E380" s="1"/>
      <c r="F380" s="230" t="str">
        <f>LOOKUP(A33,squad!$B$18:$B$59,squad!$G$18:$G$59)</f>
        <v> </v>
      </c>
      <c r="G380" s="25" t="s">
        <v>14</v>
      </c>
      <c r="H380" s="1">
        <f t="shared" si="144"/>
        <v>0</v>
      </c>
      <c r="I380" s="2">
        <f t="shared" si="154"/>
        <v>0</v>
      </c>
      <c r="J380" s="1">
        <f>-IF(AS42&gt;1,I380,0)</f>
        <v>0</v>
      </c>
      <c r="K380" s="1"/>
      <c r="L380" s="230" t="str">
        <f>LOOKUP(G33,squad!$B$18:$B$59,squad!$G$18:$G$59)</f>
        <v> </v>
      </c>
      <c r="M380" s="25" t="s">
        <v>14</v>
      </c>
      <c r="N380" s="1">
        <f t="shared" si="145"/>
        <v>0</v>
      </c>
      <c r="O380" s="2">
        <f t="shared" si="155"/>
        <v>0</v>
      </c>
      <c r="P380" s="1">
        <f>-IF(AY42&gt;1,O380,0)</f>
        <v>0</v>
      </c>
      <c r="Q380" s="1"/>
      <c r="R380" s="230" t="str">
        <f>LOOKUP(M33,squad!$B$18:$B$59,squad!$G$18:$G$59)</f>
        <v> </v>
      </c>
      <c r="S380" s="25" t="s">
        <v>14</v>
      </c>
      <c r="T380" s="1">
        <f t="shared" si="146"/>
        <v>0</v>
      </c>
      <c r="U380" s="2">
        <f t="shared" si="156"/>
        <v>0</v>
      </c>
      <c r="V380" s="1">
        <f>-IF(BE42&gt;1,U380,0)</f>
        <v>0</v>
      </c>
      <c r="W380" s="1"/>
      <c r="X380" s="230" t="str">
        <f>LOOKUP(S33,squad!$B$18:$B$59,squad!$G$18:$G$59)</f>
        <v> </v>
      </c>
      <c r="Y380" s="1" t="s">
        <v>14</v>
      </c>
      <c r="Z380" s="1">
        <f t="shared" si="147"/>
        <v>0</v>
      </c>
      <c r="AA380" s="2">
        <f t="shared" si="157"/>
        <v>0</v>
      </c>
      <c r="AB380" s="1">
        <f>-IF(BK42&gt;1,AA380,0)</f>
        <v>0</v>
      </c>
      <c r="AC380" s="1"/>
      <c r="AD380" s="230" t="str">
        <f>LOOKUP(Y33,squad!$B$18:$B$59,squad!$G$18:$G$59)</f>
        <v> </v>
      </c>
    </row>
    <row r="381" spans="1:30" ht="12.75" hidden="1">
      <c r="A381" s="25" t="s">
        <v>14</v>
      </c>
      <c r="B381" s="1">
        <f t="shared" si="143"/>
        <v>0</v>
      </c>
      <c r="C381" s="2">
        <f t="shared" si="153"/>
        <v>0</v>
      </c>
      <c r="D381" s="1">
        <f>-IF(AM42&gt;1,C381,0)</f>
        <v>0</v>
      </c>
      <c r="E381" s="1"/>
      <c r="F381" s="230" t="str">
        <f>LOOKUP(A34,squad!$B$18:$B$59,squad!$G$18:$G$59)</f>
        <v> </v>
      </c>
      <c r="G381" s="25" t="s">
        <v>14</v>
      </c>
      <c r="H381" s="1">
        <f t="shared" si="144"/>
        <v>0</v>
      </c>
      <c r="I381" s="2">
        <f t="shared" si="154"/>
        <v>0</v>
      </c>
      <c r="J381" s="1">
        <f>-IF(AS42&gt;1,I381,0)</f>
        <v>0</v>
      </c>
      <c r="K381" s="1"/>
      <c r="L381" s="230" t="str">
        <f>LOOKUP(G34,squad!$B$18:$B$59,squad!$G$18:$G$59)</f>
        <v> </v>
      </c>
      <c r="M381" s="25" t="s">
        <v>14</v>
      </c>
      <c r="N381" s="1">
        <f t="shared" si="145"/>
        <v>0</v>
      </c>
      <c r="O381" s="2">
        <f t="shared" si="155"/>
        <v>0</v>
      </c>
      <c r="P381" s="1">
        <f>-IF(AY42&gt;1,O381,0)</f>
        <v>0</v>
      </c>
      <c r="Q381" s="1"/>
      <c r="R381" s="230" t="str">
        <f>LOOKUP(M34,squad!$B$18:$B$59,squad!$G$18:$G$59)</f>
        <v> </v>
      </c>
      <c r="S381" s="25" t="s">
        <v>14</v>
      </c>
      <c r="T381" s="1">
        <f t="shared" si="146"/>
        <v>0</v>
      </c>
      <c r="U381" s="2">
        <f t="shared" si="156"/>
        <v>0</v>
      </c>
      <c r="V381" s="1">
        <f>-IF(BE42&gt;1,U381,0)</f>
        <v>0</v>
      </c>
      <c r="W381" s="1"/>
      <c r="X381" s="230" t="str">
        <f>LOOKUP(S34,squad!$B$18:$B$59,squad!$G$18:$G$59)</f>
        <v> </v>
      </c>
      <c r="Y381" s="1" t="s">
        <v>14</v>
      </c>
      <c r="Z381" s="1">
        <f t="shared" si="147"/>
        <v>0</v>
      </c>
      <c r="AA381" s="2">
        <f t="shared" si="157"/>
        <v>0</v>
      </c>
      <c r="AB381" s="1">
        <f>-IF(BK42&gt;1,AA381,0)</f>
        <v>0</v>
      </c>
      <c r="AC381" s="1"/>
      <c r="AD381" s="230" t="str">
        <f>LOOKUP(Y34,squad!$B$18:$B$59,squad!$G$18:$G$59)</f>
        <v> </v>
      </c>
    </row>
    <row r="382" spans="1:30" ht="12.75" hidden="1">
      <c r="A382" s="25" t="s">
        <v>14</v>
      </c>
      <c r="B382" s="1">
        <f t="shared" si="143"/>
        <v>0</v>
      </c>
      <c r="C382" s="2">
        <f t="shared" si="153"/>
        <v>0</v>
      </c>
      <c r="D382" s="1">
        <f>-IF(AM42&gt;1,C382,0)</f>
        <v>0</v>
      </c>
      <c r="E382" s="1"/>
      <c r="F382" s="230" t="str">
        <f>LOOKUP(A35,squad!$B$18:$B$59,squad!$G$18:$G$59)</f>
        <v> </v>
      </c>
      <c r="G382" s="25" t="s">
        <v>14</v>
      </c>
      <c r="H382" s="1">
        <f t="shared" si="144"/>
        <v>0</v>
      </c>
      <c r="I382" s="2">
        <f t="shared" si="154"/>
        <v>0</v>
      </c>
      <c r="J382" s="1">
        <f>-IF(AS42&gt;1,I382,0)</f>
        <v>0</v>
      </c>
      <c r="K382" s="1"/>
      <c r="L382" s="230" t="str">
        <f>LOOKUP(G35,squad!$B$18:$B$59,squad!$G$18:$G$59)</f>
        <v> </v>
      </c>
      <c r="M382" s="25" t="s">
        <v>14</v>
      </c>
      <c r="N382" s="1">
        <f t="shared" si="145"/>
        <v>0</v>
      </c>
      <c r="O382" s="2">
        <f t="shared" si="155"/>
        <v>0</v>
      </c>
      <c r="P382" s="1">
        <f>-IF(AY42&gt;1,O382,0)</f>
        <v>0</v>
      </c>
      <c r="Q382" s="1"/>
      <c r="R382" s="230" t="str">
        <f>LOOKUP(M35,squad!$B$18:$B$59,squad!$G$18:$G$59)</f>
        <v> </v>
      </c>
      <c r="S382" s="25" t="s">
        <v>14</v>
      </c>
      <c r="T382" s="1">
        <f t="shared" si="146"/>
        <v>0</v>
      </c>
      <c r="U382" s="2">
        <f t="shared" si="156"/>
        <v>0</v>
      </c>
      <c r="V382" s="1">
        <f>-IF(BE42&gt;1,U382,0)</f>
        <v>0</v>
      </c>
      <c r="W382" s="1"/>
      <c r="X382" s="230" t="str">
        <f>LOOKUP(S35,squad!$B$18:$B$59,squad!$G$18:$G$59)</f>
        <v> </v>
      </c>
      <c r="Y382" s="1" t="s">
        <v>14</v>
      </c>
      <c r="Z382" s="1">
        <f t="shared" si="147"/>
        <v>0</v>
      </c>
      <c r="AA382" s="2">
        <f t="shared" si="157"/>
        <v>0</v>
      </c>
      <c r="AB382" s="1">
        <f>-IF(BK42&gt;1,AA382,0)</f>
        <v>0</v>
      </c>
      <c r="AC382" s="1"/>
      <c r="AD382" s="230" t="str">
        <f>LOOKUP(Y35,squad!$B$18:$B$59,squad!$G$18:$G$59)</f>
        <v> </v>
      </c>
    </row>
    <row r="383" spans="1:30" ht="13.5" hidden="1" thickBot="1">
      <c r="A383" s="221" t="s">
        <v>14</v>
      </c>
      <c r="B383" s="26">
        <f t="shared" si="143"/>
        <v>0</v>
      </c>
      <c r="C383" s="190">
        <f t="shared" si="153"/>
        <v>0</v>
      </c>
      <c r="D383" s="26">
        <f>-IF(AM42&gt;1,C383,0)</f>
        <v>0</v>
      </c>
      <c r="E383" s="26"/>
      <c r="F383" s="231" t="str">
        <f>LOOKUP(A36,squad!$B$18:$B$59,squad!$G$18:$G$59)</f>
        <v> </v>
      </c>
      <c r="G383" s="221" t="s">
        <v>14</v>
      </c>
      <c r="H383" s="1">
        <f t="shared" si="144"/>
        <v>0</v>
      </c>
      <c r="I383" s="2">
        <f t="shared" si="154"/>
        <v>0</v>
      </c>
      <c r="J383" s="1">
        <f>-IF(AS42&gt;1,I383,0)</f>
        <v>0</v>
      </c>
      <c r="K383" s="1"/>
      <c r="L383" s="231" t="str">
        <f>LOOKUP(G36,squad!$B$18:$B$59,squad!$G$18:$G$59)</f>
        <v> </v>
      </c>
      <c r="M383" s="221" t="s">
        <v>14</v>
      </c>
      <c r="N383" s="1">
        <f t="shared" si="145"/>
        <v>0</v>
      </c>
      <c r="O383" s="2">
        <f t="shared" si="155"/>
        <v>0</v>
      </c>
      <c r="P383" s="1">
        <f>-IF(AY42&gt;1,O383,0)</f>
        <v>0</v>
      </c>
      <c r="Q383" s="1"/>
      <c r="R383" s="231" t="str">
        <f>LOOKUP(M36,squad!$B$18:$B$59,squad!$G$18:$G$59)</f>
        <v> </v>
      </c>
      <c r="S383" s="221" t="s">
        <v>14</v>
      </c>
      <c r="T383" s="1">
        <f t="shared" si="146"/>
        <v>0</v>
      </c>
      <c r="U383" s="2">
        <f t="shared" si="156"/>
        <v>0</v>
      </c>
      <c r="V383" s="1">
        <f>-IF(BE42&gt;1,U383,0)</f>
        <v>0</v>
      </c>
      <c r="W383" s="1"/>
      <c r="X383" s="231" t="str">
        <f>LOOKUP(S36,squad!$B$18:$B$59,squad!$G$18:$G$59)</f>
        <v> </v>
      </c>
      <c r="Y383" s="26" t="s">
        <v>14</v>
      </c>
      <c r="Z383" s="1">
        <f t="shared" si="147"/>
        <v>0</v>
      </c>
      <c r="AA383" s="2">
        <f t="shared" si="157"/>
        <v>0</v>
      </c>
      <c r="AB383" s="1">
        <f>-IF(BK42&gt;1,AA383,0)</f>
        <v>0</v>
      </c>
      <c r="AC383" s="1"/>
      <c r="AD383" s="231" t="str">
        <f>LOOKUP(Y36,squad!$B$18:$B$59,squad!$G$18:$G$59)</f>
        <v> </v>
      </c>
    </row>
    <row r="384" spans="1:30" ht="12.75" hidden="1">
      <c r="A384" s="222" t="s">
        <v>295</v>
      </c>
      <c r="B384" s="223"/>
      <c r="C384" s="223"/>
      <c r="D384" s="223"/>
      <c r="E384" s="223"/>
      <c r="F384" s="224"/>
      <c r="G384" s="222" t="s">
        <v>295</v>
      </c>
      <c r="H384" s="223"/>
      <c r="I384" s="223"/>
      <c r="J384" s="223"/>
      <c r="K384" s="223"/>
      <c r="L384" s="224"/>
      <c r="M384" s="222" t="s">
        <v>295</v>
      </c>
      <c r="N384" s="223"/>
      <c r="O384" s="223"/>
      <c r="P384" s="223"/>
      <c r="Q384" s="223"/>
      <c r="R384" s="224"/>
      <c r="S384" s="222" t="s">
        <v>295</v>
      </c>
      <c r="T384" s="223"/>
      <c r="U384" s="223"/>
      <c r="V384" s="223"/>
      <c r="W384" s="223"/>
      <c r="X384" s="227"/>
      <c r="Y384" s="222" t="s">
        <v>295</v>
      </c>
      <c r="Z384" s="223"/>
      <c r="AA384" s="223"/>
      <c r="AB384" s="223"/>
      <c r="AC384" s="223"/>
      <c r="AD384" s="224"/>
    </row>
    <row r="385" spans="1:30" ht="13.5" hidden="1" thickBot="1">
      <c r="A385" s="159"/>
      <c r="B385" s="7" t="s">
        <v>287</v>
      </c>
      <c r="C385" s="7"/>
      <c r="D385" s="7"/>
      <c r="E385" s="7"/>
      <c r="F385" s="227"/>
      <c r="G385" s="160"/>
      <c r="H385" s="161" t="s">
        <v>287</v>
      </c>
      <c r="I385" s="161"/>
      <c r="J385" s="161"/>
      <c r="K385" s="161"/>
      <c r="L385" s="225"/>
      <c r="M385" s="160"/>
      <c r="N385" s="161" t="s">
        <v>287</v>
      </c>
      <c r="O385" s="161"/>
      <c r="P385" s="161"/>
      <c r="Q385" s="161"/>
      <c r="R385" s="225"/>
      <c r="S385" s="160"/>
      <c r="T385" s="161" t="s">
        <v>287</v>
      </c>
      <c r="U385" s="161"/>
      <c r="V385" s="161"/>
      <c r="W385" s="161"/>
      <c r="X385" s="225"/>
      <c r="Y385" s="160"/>
      <c r="Z385" s="161" t="s">
        <v>287</v>
      </c>
      <c r="AA385" s="161"/>
      <c r="AB385" s="161"/>
      <c r="AC385" s="161"/>
      <c r="AD385" s="225"/>
    </row>
    <row r="386" spans="1:30" ht="13.5" hidden="1" thickBot="1">
      <c r="A386" s="216" t="s">
        <v>10</v>
      </c>
      <c r="B386" s="217">
        <f>AG17</f>
        <v>0</v>
      </c>
      <c r="C386" s="217"/>
      <c r="D386" s="217"/>
      <c r="E386" s="217"/>
      <c r="F386" s="245" t="str">
        <f>LOOKUP(A17,squad!$B$18:$B$59,squad!$G$18:$G$59)</f>
        <v> </v>
      </c>
      <c r="G386" s="226" t="s">
        <v>10</v>
      </c>
      <c r="H386" s="218">
        <f>AH17</f>
        <v>0</v>
      </c>
      <c r="I386" s="218"/>
      <c r="J386" s="218"/>
      <c r="K386" s="218"/>
      <c r="L386" s="232" t="str">
        <f>LOOKUP(G17,squad!$B$18:$B$59,squad!$G$18:$G$59)</f>
        <v> </v>
      </c>
      <c r="M386" s="226" t="s">
        <v>10</v>
      </c>
      <c r="N386" s="218">
        <f>AI17</f>
        <v>0</v>
      </c>
      <c r="O386" s="218"/>
      <c r="P386" s="218"/>
      <c r="Q386" s="218"/>
      <c r="R386" s="232" t="str">
        <f>LOOKUP(M17,squad!$B$18:$B$59,squad!$G$18:$G$59)</f>
        <v> </v>
      </c>
      <c r="S386" s="226" t="s">
        <v>10</v>
      </c>
      <c r="T386" s="218">
        <f>AJ17</f>
        <v>0</v>
      </c>
      <c r="U386" s="218"/>
      <c r="V386" s="218"/>
      <c r="W386" s="218"/>
      <c r="X386" s="232" t="str">
        <f>LOOKUP(S17,squad!$B$18:$B$59,squad!$G$18:$G$59)</f>
        <v> </v>
      </c>
      <c r="Y386" s="226" t="s">
        <v>10</v>
      </c>
      <c r="Z386" s="218">
        <f>AK17</f>
        <v>0</v>
      </c>
      <c r="AA386" s="218"/>
      <c r="AB386" s="218"/>
      <c r="AC386" s="218"/>
      <c r="AD386" s="232" t="str">
        <f>LOOKUP(Y17,squad!$B$18:$B$59,squad!$G$18:$G$59)</f>
        <v> </v>
      </c>
    </row>
    <row r="387" spans="1:30" ht="13.5" hidden="1" thickBot="1">
      <c r="A387" s="216" t="s">
        <v>11</v>
      </c>
      <c r="B387" s="217">
        <f aca="true" t="shared" si="158" ref="B387:B405">AG18</f>
        <v>0</v>
      </c>
      <c r="C387" s="217"/>
      <c r="D387" s="217"/>
      <c r="E387" s="217"/>
      <c r="F387" s="245" t="str">
        <f>LOOKUP(A18,squad!$B$18:$B$59,squad!$G$18:$G$59)</f>
        <v> </v>
      </c>
      <c r="G387" s="216" t="s">
        <v>11</v>
      </c>
      <c r="H387" s="217">
        <f aca="true" t="shared" si="159" ref="H387:H405">AH18</f>
        <v>0</v>
      </c>
      <c r="I387" s="217"/>
      <c r="J387" s="217"/>
      <c r="K387" s="217"/>
      <c r="L387" s="245" t="str">
        <f>LOOKUP(G18,squad!$B$18:$B$59,squad!$G$18:$G$59)</f>
        <v> </v>
      </c>
      <c r="M387" s="216" t="s">
        <v>11</v>
      </c>
      <c r="N387" s="217">
        <f aca="true" t="shared" si="160" ref="N387:N405">AI18</f>
        <v>0</v>
      </c>
      <c r="O387" s="217"/>
      <c r="P387" s="217"/>
      <c r="Q387" s="217"/>
      <c r="R387" s="245" t="str">
        <f>LOOKUP(M18,squad!$B$18:$B$59,squad!$G$18:$G$59)</f>
        <v> </v>
      </c>
      <c r="S387" s="216" t="s">
        <v>11</v>
      </c>
      <c r="T387" s="217">
        <f aca="true" t="shared" si="161" ref="T387:T405">AJ18</f>
        <v>0</v>
      </c>
      <c r="U387" s="217"/>
      <c r="V387" s="217"/>
      <c r="W387" s="217"/>
      <c r="X387" s="245" t="str">
        <f>LOOKUP(S18,squad!$B$18:$B$59,squad!$G$18:$G$59)</f>
        <v> </v>
      </c>
      <c r="Y387" s="216" t="s">
        <v>11</v>
      </c>
      <c r="Z387" s="217">
        <f aca="true" t="shared" si="162" ref="Z387:Z404">AK18</f>
        <v>0</v>
      </c>
      <c r="AA387" s="217"/>
      <c r="AB387" s="217"/>
      <c r="AC387" s="217"/>
      <c r="AD387" s="245" t="str">
        <f>LOOKUP(Y18,squad!$B$18:$B$59,squad!$G$18:$G$59)</f>
        <v> </v>
      </c>
    </row>
    <row r="388" spans="1:30" ht="12.75" hidden="1">
      <c r="A388" s="25" t="s">
        <v>12</v>
      </c>
      <c r="B388" s="1">
        <f t="shared" si="158"/>
        <v>0</v>
      </c>
      <c r="C388" s="1"/>
      <c r="D388" s="1"/>
      <c r="E388" s="1"/>
      <c r="F388" s="232" t="str">
        <f>LOOKUP(A19,squad!$B$18:$B$59,squad!$G$18:$G$59)</f>
        <v> </v>
      </c>
      <c r="G388" s="1" t="s">
        <v>12</v>
      </c>
      <c r="H388" s="1">
        <f t="shared" si="159"/>
        <v>0</v>
      </c>
      <c r="I388" s="1"/>
      <c r="J388" s="1"/>
      <c r="K388" s="1"/>
      <c r="L388" s="230" t="str">
        <f>LOOKUP(G19,squad!$B$18:$B$59,squad!$G$18:$G$59)</f>
        <v> </v>
      </c>
      <c r="M388" s="25" t="s">
        <v>12</v>
      </c>
      <c r="N388" s="1">
        <f t="shared" si="160"/>
        <v>0</v>
      </c>
      <c r="O388" s="1"/>
      <c r="P388" s="1"/>
      <c r="Q388" s="1"/>
      <c r="R388" s="230" t="str">
        <f>LOOKUP(M19,squad!$B$18:$B$59,squad!$G$18:$G$59)</f>
        <v> </v>
      </c>
      <c r="S388" s="25" t="s">
        <v>12</v>
      </c>
      <c r="T388" s="1">
        <f t="shared" si="161"/>
        <v>0</v>
      </c>
      <c r="U388" s="1"/>
      <c r="V388" s="1"/>
      <c r="W388" s="1"/>
      <c r="X388" s="230" t="str">
        <f>LOOKUP(S19,squad!$B$18:$B$59,squad!$G$18:$G$59)</f>
        <v> </v>
      </c>
      <c r="Y388" s="25" t="s">
        <v>12</v>
      </c>
      <c r="Z388" s="1">
        <f t="shared" si="162"/>
        <v>0</v>
      </c>
      <c r="AA388" s="1"/>
      <c r="AB388" s="1"/>
      <c r="AC388" s="1"/>
      <c r="AD388" s="230" t="str">
        <f>LOOKUP(Y19,squad!$B$18:$B$59,squad!$G$18:$G$59)</f>
        <v> </v>
      </c>
    </row>
    <row r="389" spans="1:30" ht="12.75" hidden="1">
      <c r="A389" s="25" t="s">
        <v>12</v>
      </c>
      <c r="B389" s="1">
        <f t="shared" si="158"/>
        <v>0</v>
      </c>
      <c r="C389" s="1"/>
      <c r="D389" s="1"/>
      <c r="E389" s="1"/>
      <c r="F389" s="230" t="str">
        <f>LOOKUP(A20,squad!$B$18:$B$59,squad!$G$18:$G$59)</f>
        <v> </v>
      </c>
      <c r="G389" s="1" t="s">
        <v>12</v>
      </c>
      <c r="H389" s="1">
        <f t="shared" si="159"/>
        <v>0</v>
      </c>
      <c r="I389" s="1"/>
      <c r="J389" s="1"/>
      <c r="K389" s="1"/>
      <c r="L389" s="230" t="str">
        <f>LOOKUP(G20,squad!$B$18:$B$59,squad!$G$18:$G$59)</f>
        <v> </v>
      </c>
      <c r="M389" s="25" t="s">
        <v>12</v>
      </c>
      <c r="N389" s="1">
        <f t="shared" si="160"/>
        <v>0</v>
      </c>
      <c r="O389" s="1"/>
      <c r="P389" s="1"/>
      <c r="Q389" s="1"/>
      <c r="R389" s="230" t="str">
        <f>LOOKUP(M20,squad!$B$18:$B$59,squad!$G$18:$G$59)</f>
        <v> </v>
      </c>
      <c r="S389" s="25" t="s">
        <v>12</v>
      </c>
      <c r="T389" s="1">
        <f t="shared" si="161"/>
        <v>0</v>
      </c>
      <c r="U389" s="1"/>
      <c r="V389" s="1"/>
      <c r="W389" s="1"/>
      <c r="X389" s="230" t="str">
        <f>LOOKUP(S20,squad!$B$18:$B$59,squad!$G$18:$G$59)</f>
        <v> </v>
      </c>
      <c r="Y389" s="25" t="s">
        <v>12</v>
      </c>
      <c r="Z389" s="1">
        <f t="shared" si="162"/>
        <v>0</v>
      </c>
      <c r="AA389" s="1"/>
      <c r="AB389" s="1"/>
      <c r="AC389" s="1"/>
      <c r="AD389" s="230" t="str">
        <f>LOOKUP(Y20,squad!$B$18:$B$59,squad!$G$18:$G$59)</f>
        <v> </v>
      </c>
    </row>
    <row r="390" spans="1:30" ht="12.75" hidden="1">
      <c r="A390" s="25" t="s">
        <v>12</v>
      </c>
      <c r="B390" s="1">
        <f t="shared" si="158"/>
        <v>0</v>
      </c>
      <c r="C390" s="1"/>
      <c r="D390" s="1"/>
      <c r="E390" s="1"/>
      <c r="F390" s="230" t="str">
        <f>LOOKUP(A21,squad!$B$18:$B$59,squad!$G$18:$G$59)</f>
        <v> </v>
      </c>
      <c r="G390" s="1" t="s">
        <v>12</v>
      </c>
      <c r="H390" s="1">
        <f t="shared" si="159"/>
        <v>0</v>
      </c>
      <c r="I390" s="1"/>
      <c r="J390" s="1"/>
      <c r="K390" s="1"/>
      <c r="L390" s="230" t="str">
        <f>LOOKUP(G21,squad!$B$18:$B$59,squad!$G$18:$G$59)</f>
        <v> </v>
      </c>
      <c r="M390" s="25" t="s">
        <v>12</v>
      </c>
      <c r="N390" s="1">
        <f t="shared" si="160"/>
        <v>0</v>
      </c>
      <c r="O390" s="1"/>
      <c r="P390" s="1"/>
      <c r="Q390" s="1"/>
      <c r="R390" s="230" t="str">
        <f>LOOKUP(M21,squad!$B$18:$B$59,squad!$G$18:$G$59)</f>
        <v> </v>
      </c>
      <c r="S390" s="25" t="s">
        <v>12</v>
      </c>
      <c r="T390" s="1">
        <f t="shared" si="161"/>
        <v>0</v>
      </c>
      <c r="U390" s="1"/>
      <c r="V390" s="1"/>
      <c r="W390" s="1"/>
      <c r="X390" s="230" t="str">
        <f>LOOKUP(S21,squad!$B$18:$B$59,squad!$G$18:$G$59)</f>
        <v> </v>
      </c>
      <c r="Y390" s="25" t="s">
        <v>12</v>
      </c>
      <c r="Z390" s="1">
        <f t="shared" si="162"/>
        <v>0</v>
      </c>
      <c r="AA390" s="1"/>
      <c r="AB390" s="1"/>
      <c r="AC390" s="1"/>
      <c r="AD390" s="230" t="str">
        <f>LOOKUP(Y21,squad!$B$18:$B$59,squad!$G$18:$G$59)</f>
        <v> </v>
      </c>
    </row>
    <row r="391" spans="1:30" ht="12.75" hidden="1">
      <c r="A391" s="25" t="s">
        <v>12</v>
      </c>
      <c r="B391" s="1">
        <f t="shared" si="158"/>
        <v>0</v>
      </c>
      <c r="C391" s="1"/>
      <c r="D391" s="1"/>
      <c r="E391" s="1"/>
      <c r="F391" s="230" t="str">
        <f>LOOKUP(A22,squad!$B$18:$B$59,squad!$G$18:$G$59)</f>
        <v> </v>
      </c>
      <c r="G391" s="1" t="s">
        <v>12</v>
      </c>
      <c r="H391" s="1">
        <f t="shared" si="159"/>
        <v>0</v>
      </c>
      <c r="I391" s="1"/>
      <c r="J391" s="1"/>
      <c r="K391" s="1"/>
      <c r="L391" s="230" t="str">
        <f>LOOKUP(G22,squad!$B$18:$B$59,squad!$G$18:$G$59)</f>
        <v> </v>
      </c>
      <c r="M391" s="25" t="s">
        <v>12</v>
      </c>
      <c r="N391" s="1">
        <f t="shared" si="160"/>
        <v>0</v>
      </c>
      <c r="O391" s="1"/>
      <c r="P391" s="1"/>
      <c r="Q391" s="1"/>
      <c r="R391" s="230" t="str">
        <f>LOOKUP(M22,squad!$B$18:$B$59,squad!$G$18:$G$59)</f>
        <v> </v>
      </c>
      <c r="S391" s="25" t="s">
        <v>12</v>
      </c>
      <c r="T391" s="1">
        <f t="shared" si="161"/>
        <v>0</v>
      </c>
      <c r="U391" s="1"/>
      <c r="V391" s="1"/>
      <c r="W391" s="1"/>
      <c r="X391" s="230" t="str">
        <f>LOOKUP(S22,squad!$B$18:$B$59,squad!$G$18:$G$59)</f>
        <v> </v>
      </c>
      <c r="Y391" s="25" t="s">
        <v>12</v>
      </c>
      <c r="Z391" s="1">
        <f t="shared" si="162"/>
        <v>0</v>
      </c>
      <c r="AA391" s="1"/>
      <c r="AB391" s="1"/>
      <c r="AC391" s="1"/>
      <c r="AD391" s="230" t="str">
        <f>LOOKUP(Y22,squad!$B$18:$B$59,squad!$G$18:$G$59)</f>
        <v> </v>
      </c>
    </row>
    <row r="392" spans="1:30" ht="12.75" hidden="1">
      <c r="A392" s="25" t="s">
        <v>12</v>
      </c>
      <c r="B392" s="1">
        <f t="shared" si="158"/>
        <v>0</v>
      </c>
      <c r="C392" s="1"/>
      <c r="D392" s="1"/>
      <c r="E392" s="1"/>
      <c r="F392" s="230" t="str">
        <f>LOOKUP(A23,squad!$B$18:$B$59,squad!$G$18:$G$59)</f>
        <v> </v>
      </c>
      <c r="G392" s="1" t="s">
        <v>12</v>
      </c>
      <c r="H392" s="1">
        <f t="shared" si="159"/>
        <v>0</v>
      </c>
      <c r="I392" s="1"/>
      <c r="J392" s="1"/>
      <c r="K392" s="1"/>
      <c r="L392" s="230" t="str">
        <f>LOOKUP(G23,squad!$B$18:$B$59,squad!$G$18:$G$59)</f>
        <v> </v>
      </c>
      <c r="M392" s="25" t="s">
        <v>12</v>
      </c>
      <c r="N392" s="1">
        <f t="shared" si="160"/>
        <v>0</v>
      </c>
      <c r="O392" s="1"/>
      <c r="P392" s="1"/>
      <c r="Q392" s="1"/>
      <c r="R392" s="230" t="str">
        <f>LOOKUP(M23,squad!$B$18:$B$59,squad!$G$18:$G$59)</f>
        <v> </v>
      </c>
      <c r="S392" s="25" t="s">
        <v>12</v>
      </c>
      <c r="T392" s="1">
        <f t="shared" si="161"/>
        <v>0</v>
      </c>
      <c r="U392" s="1"/>
      <c r="V392" s="1"/>
      <c r="W392" s="1"/>
      <c r="X392" s="230" t="str">
        <f>LOOKUP(S23,squad!$B$18:$B$59,squad!$G$18:$G$59)</f>
        <v> </v>
      </c>
      <c r="Y392" s="25" t="s">
        <v>12</v>
      </c>
      <c r="Z392" s="1">
        <f t="shared" si="162"/>
        <v>0</v>
      </c>
      <c r="AA392" s="1"/>
      <c r="AB392" s="1"/>
      <c r="AC392" s="1"/>
      <c r="AD392" s="230" t="str">
        <f>LOOKUP(Y23,squad!$B$18:$B$59,squad!$G$18:$G$59)</f>
        <v> </v>
      </c>
    </row>
    <row r="393" spans="1:30" ht="13.5" hidden="1" thickBot="1">
      <c r="A393" s="25" t="s">
        <v>12</v>
      </c>
      <c r="B393" s="1">
        <f t="shared" si="158"/>
        <v>0</v>
      </c>
      <c r="C393" s="1"/>
      <c r="D393" s="1"/>
      <c r="E393" s="1"/>
      <c r="F393" s="230" t="str">
        <f>LOOKUP(A24,squad!$B$18:$B$59,squad!$G$18:$G$59)</f>
        <v> </v>
      </c>
      <c r="G393" s="1" t="s">
        <v>12</v>
      </c>
      <c r="H393" s="1">
        <f t="shared" si="159"/>
        <v>0</v>
      </c>
      <c r="I393" s="1"/>
      <c r="J393" s="1"/>
      <c r="K393" s="1"/>
      <c r="L393" s="230" t="str">
        <f>LOOKUP(G24,squad!$B$18:$B$59,squad!$G$18:$G$59)</f>
        <v> </v>
      </c>
      <c r="M393" s="25" t="s">
        <v>12</v>
      </c>
      <c r="N393" s="1">
        <f t="shared" si="160"/>
        <v>0</v>
      </c>
      <c r="O393" s="1"/>
      <c r="P393" s="1"/>
      <c r="Q393" s="1"/>
      <c r="R393" s="230" t="str">
        <f>LOOKUP(M24,squad!$B$18:$B$59,squad!$G$18:$G$59)</f>
        <v> </v>
      </c>
      <c r="S393" s="25" t="s">
        <v>12</v>
      </c>
      <c r="T393" s="1">
        <f t="shared" si="161"/>
        <v>0</v>
      </c>
      <c r="U393" s="1"/>
      <c r="V393" s="1"/>
      <c r="W393" s="1"/>
      <c r="X393" s="230" t="str">
        <f>LOOKUP(S24,squad!$B$18:$B$59,squad!$G$18:$G$59)</f>
        <v> </v>
      </c>
      <c r="Y393" s="25" t="s">
        <v>12</v>
      </c>
      <c r="Z393" s="1">
        <f t="shared" si="162"/>
        <v>0</v>
      </c>
      <c r="AA393" s="1"/>
      <c r="AB393" s="1"/>
      <c r="AC393" s="1"/>
      <c r="AD393" s="230" t="str">
        <f>LOOKUP(Y24,squad!$B$18:$B$59,squad!$G$18:$G$59)</f>
        <v> </v>
      </c>
    </row>
    <row r="394" spans="1:30" ht="13.5" hidden="1" thickBot="1">
      <c r="A394" s="226" t="s">
        <v>13</v>
      </c>
      <c r="B394" s="218">
        <f t="shared" si="158"/>
        <v>0</v>
      </c>
      <c r="C394" s="218">
        <f aca="true" t="shared" si="163" ref="C394:C399">IF(B394="AM",IF(F394="I",1,IF(F394="II",2,IF(F394="III",3,IF(F394="IV",4,IF(F394="V",5,0))))),0)</f>
        <v>0</v>
      </c>
      <c r="D394" s="218"/>
      <c r="E394" s="218"/>
      <c r="F394" s="232" t="str">
        <f>LOOKUP(A25,squad!$B$18:$B$59,squad!$G$18:$G$59)</f>
        <v> </v>
      </c>
      <c r="G394" s="218" t="s">
        <v>13</v>
      </c>
      <c r="H394" s="218">
        <f t="shared" si="159"/>
        <v>0</v>
      </c>
      <c r="I394" s="218">
        <f aca="true" t="shared" si="164" ref="I394:I399">IF(H394="AM",IF(L394="I",1,IF(L394="II",2,IF(L394="III",3,IF(L394="IV",4,IF(L394="V",5,0))))),0)</f>
        <v>0</v>
      </c>
      <c r="J394" s="218"/>
      <c r="K394" s="218"/>
      <c r="L394" s="232" t="str">
        <f>LOOKUP(G25,squad!$B$18:$B$59,squad!$G$18:$G$59)</f>
        <v> </v>
      </c>
      <c r="M394" s="218" t="s">
        <v>13</v>
      </c>
      <c r="N394" s="218">
        <f t="shared" si="160"/>
        <v>0</v>
      </c>
      <c r="O394" s="218">
        <f aca="true" t="shared" si="165" ref="O394:O399">IF(N394="AM",IF(R394="I",1,IF(R394="II",2,IF(R394="III",3,IF(R394="IV",4,IF(R394="V",5,0))))),0)</f>
        <v>0</v>
      </c>
      <c r="P394" s="218"/>
      <c r="Q394" s="242"/>
      <c r="R394" s="228" t="str">
        <f>LOOKUP(M25,squad!$B$18:$B$59,squad!$G$18:$G$59)</f>
        <v> </v>
      </c>
      <c r="S394" s="226" t="s">
        <v>13</v>
      </c>
      <c r="T394" s="218">
        <f t="shared" si="161"/>
        <v>0</v>
      </c>
      <c r="U394" s="218">
        <f aca="true" t="shared" si="166" ref="U394:U399">IF(T394="AM",IF(X394="I",1,IF(X394="II",2,IF(X394="III",3,IF(X394="IV",4,IF(X394="V",5,0))))),0)</f>
        <v>0</v>
      </c>
      <c r="V394" s="218"/>
      <c r="W394" s="242"/>
      <c r="X394" s="232" t="str">
        <f>LOOKUP(S25,squad!$B$18:$B$59,squad!$G$18:$G$59)</f>
        <v> </v>
      </c>
      <c r="Y394" s="218" t="s">
        <v>13</v>
      </c>
      <c r="Z394" s="218">
        <f t="shared" si="162"/>
        <v>0</v>
      </c>
      <c r="AA394" s="218">
        <f aca="true" t="shared" si="167" ref="AA394:AA399">IF(Z394="AM",IF(AD394="I",1,IF(AD394="II",2,IF(AD394="III",3,IF(AD394="IV",4,IF(AD394="V",5,0))))),0)</f>
        <v>0</v>
      </c>
      <c r="AB394" s="218"/>
      <c r="AC394" s="218"/>
      <c r="AD394" s="232" t="str">
        <f>LOOKUP(Y25,squad!$B$18:$B$59,squad!$G$18:$G$59)</f>
        <v> </v>
      </c>
    </row>
    <row r="395" spans="1:30" ht="13.5" hidden="1" thickBot="1">
      <c r="A395" s="25" t="s">
        <v>13</v>
      </c>
      <c r="B395" s="1">
        <f t="shared" si="158"/>
        <v>0</v>
      </c>
      <c r="C395" s="218">
        <f t="shared" si="163"/>
        <v>0</v>
      </c>
      <c r="D395" s="1"/>
      <c r="E395" s="1"/>
      <c r="F395" s="230" t="str">
        <f>LOOKUP(A26,squad!$B$18:$B$59,squad!$G$18:$G$59)</f>
        <v> </v>
      </c>
      <c r="G395" s="1" t="s">
        <v>13</v>
      </c>
      <c r="H395" s="1">
        <f t="shared" si="159"/>
        <v>0</v>
      </c>
      <c r="I395" s="218">
        <f t="shared" si="164"/>
        <v>0</v>
      </c>
      <c r="J395" s="1"/>
      <c r="K395" s="1"/>
      <c r="L395" s="230" t="str">
        <f>LOOKUP(G26,squad!$B$18:$B$59,squad!$G$18:$G$59)</f>
        <v> </v>
      </c>
      <c r="M395" s="1" t="s">
        <v>13</v>
      </c>
      <c r="N395" s="1">
        <f t="shared" si="160"/>
        <v>0</v>
      </c>
      <c r="O395" s="218">
        <f t="shared" si="165"/>
        <v>0</v>
      </c>
      <c r="P395" s="1"/>
      <c r="Q395" s="24"/>
      <c r="R395" s="88" t="str">
        <f>LOOKUP(M26,squad!$B$18:$B$59,squad!$G$18:$G$59)</f>
        <v> </v>
      </c>
      <c r="S395" s="25" t="s">
        <v>13</v>
      </c>
      <c r="T395" s="1">
        <f t="shared" si="161"/>
        <v>0</v>
      </c>
      <c r="U395" s="218">
        <f t="shared" si="166"/>
        <v>0</v>
      </c>
      <c r="V395" s="1"/>
      <c r="W395" s="24"/>
      <c r="X395" s="230" t="str">
        <f>LOOKUP(S26,squad!$B$18:$B$59,squad!$G$18:$G$59)</f>
        <v> </v>
      </c>
      <c r="Y395" s="1" t="s">
        <v>13</v>
      </c>
      <c r="Z395" s="1">
        <f t="shared" si="162"/>
        <v>0</v>
      </c>
      <c r="AA395" s="218">
        <f t="shared" si="167"/>
        <v>0</v>
      </c>
      <c r="AB395" s="1"/>
      <c r="AC395" s="1"/>
      <c r="AD395" s="230" t="str">
        <f>LOOKUP(Y26,squad!$B$18:$B$59,squad!$G$18:$G$59)</f>
        <v> </v>
      </c>
    </row>
    <row r="396" spans="1:30" ht="13.5" hidden="1" thickBot="1">
      <c r="A396" s="25" t="s">
        <v>13</v>
      </c>
      <c r="B396" s="1">
        <f t="shared" si="158"/>
        <v>0</v>
      </c>
      <c r="C396" s="218">
        <f t="shared" si="163"/>
        <v>0</v>
      </c>
      <c r="D396" s="1"/>
      <c r="E396" s="1"/>
      <c r="F396" s="230" t="str">
        <f>LOOKUP(A27,squad!$B$18:$B$59,squad!$G$18:$G$59)</f>
        <v> </v>
      </c>
      <c r="G396" s="1" t="s">
        <v>13</v>
      </c>
      <c r="H396" s="1">
        <f t="shared" si="159"/>
        <v>0</v>
      </c>
      <c r="I396" s="218">
        <f t="shared" si="164"/>
        <v>0</v>
      </c>
      <c r="J396" s="1"/>
      <c r="K396" s="1"/>
      <c r="L396" s="230" t="str">
        <f>LOOKUP(G27,squad!$B$18:$B$59,squad!$G$18:$G$59)</f>
        <v> </v>
      </c>
      <c r="M396" s="1" t="s">
        <v>13</v>
      </c>
      <c r="N396" s="1">
        <f t="shared" si="160"/>
        <v>0</v>
      </c>
      <c r="O396" s="218">
        <f t="shared" si="165"/>
        <v>0</v>
      </c>
      <c r="P396" s="1"/>
      <c r="Q396" s="24"/>
      <c r="R396" s="88" t="str">
        <f>LOOKUP(M27,squad!$B$18:$B$59,squad!$G$18:$G$59)</f>
        <v> </v>
      </c>
      <c r="S396" s="25" t="s">
        <v>13</v>
      </c>
      <c r="T396" s="1">
        <f t="shared" si="161"/>
        <v>0</v>
      </c>
      <c r="U396" s="218">
        <f t="shared" si="166"/>
        <v>0</v>
      </c>
      <c r="V396" s="1"/>
      <c r="W396" s="24"/>
      <c r="X396" s="230" t="str">
        <f>LOOKUP(S27,squad!$B$18:$B$59,squad!$G$18:$G$59)</f>
        <v> </v>
      </c>
      <c r="Y396" s="1" t="s">
        <v>13</v>
      </c>
      <c r="Z396" s="1">
        <f t="shared" si="162"/>
        <v>0</v>
      </c>
      <c r="AA396" s="218">
        <f t="shared" si="167"/>
        <v>0</v>
      </c>
      <c r="AB396" s="1"/>
      <c r="AC396" s="1"/>
      <c r="AD396" s="230" t="str">
        <f>LOOKUP(Y27,squad!$B$18:$B$59,squad!$G$18:$G$59)</f>
        <v> </v>
      </c>
    </row>
    <row r="397" spans="1:30" ht="13.5" hidden="1" thickBot="1">
      <c r="A397" s="25" t="s">
        <v>13</v>
      </c>
      <c r="B397" s="1">
        <f t="shared" si="158"/>
        <v>0</v>
      </c>
      <c r="C397" s="218">
        <f t="shared" si="163"/>
        <v>0</v>
      </c>
      <c r="D397" s="1"/>
      <c r="E397" s="1"/>
      <c r="F397" s="230" t="str">
        <f>LOOKUP(A28,squad!$B$18:$B$59,squad!$G$18:$G$59)</f>
        <v> </v>
      </c>
      <c r="G397" s="1" t="s">
        <v>13</v>
      </c>
      <c r="H397" s="1">
        <f t="shared" si="159"/>
        <v>0</v>
      </c>
      <c r="I397" s="218">
        <f t="shared" si="164"/>
        <v>0</v>
      </c>
      <c r="J397" s="1"/>
      <c r="K397" s="1"/>
      <c r="L397" s="230" t="str">
        <f>LOOKUP(G28,squad!$B$18:$B$59,squad!$G$18:$G$59)</f>
        <v> </v>
      </c>
      <c r="M397" s="1" t="s">
        <v>13</v>
      </c>
      <c r="N397" s="1">
        <f t="shared" si="160"/>
        <v>0</v>
      </c>
      <c r="O397" s="218">
        <f t="shared" si="165"/>
        <v>0</v>
      </c>
      <c r="P397" s="1"/>
      <c r="Q397" s="24"/>
      <c r="R397" s="88" t="str">
        <f>LOOKUP(M28,squad!$B$18:$B$59,squad!$G$18:$G$59)</f>
        <v> </v>
      </c>
      <c r="S397" s="25" t="s">
        <v>13</v>
      </c>
      <c r="T397" s="1">
        <f t="shared" si="161"/>
        <v>0</v>
      </c>
      <c r="U397" s="218">
        <f t="shared" si="166"/>
        <v>0</v>
      </c>
      <c r="V397" s="1"/>
      <c r="W397" s="24"/>
      <c r="X397" s="230" t="str">
        <f>LOOKUP(S28,squad!$B$18:$B$59,squad!$G$18:$G$59)</f>
        <v> </v>
      </c>
      <c r="Y397" s="1" t="s">
        <v>13</v>
      </c>
      <c r="Z397" s="1">
        <f t="shared" si="162"/>
        <v>0</v>
      </c>
      <c r="AA397" s="218">
        <f t="shared" si="167"/>
        <v>0</v>
      </c>
      <c r="AB397" s="1"/>
      <c r="AC397" s="1"/>
      <c r="AD397" s="230" t="str">
        <f>LOOKUP(Y28,squad!$B$18:$B$59,squad!$G$18:$G$59)</f>
        <v> </v>
      </c>
    </row>
    <row r="398" spans="1:30" ht="13.5" hidden="1" thickBot="1">
      <c r="A398" s="25" t="s">
        <v>13</v>
      </c>
      <c r="B398" s="1">
        <f t="shared" si="158"/>
        <v>0</v>
      </c>
      <c r="C398" s="218">
        <f t="shared" si="163"/>
        <v>0</v>
      </c>
      <c r="D398" s="1"/>
      <c r="E398" s="1"/>
      <c r="F398" s="230" t="str">
        <f>LOOKUP(A29,squad!$B$18:$B$59,squad!$G$18:$G$59)</f>
        <v> </v>
      </c>
      <c r="G398" s="1" t="s">
        <v>13</v>
      </c>
      <c r="H398" s="1">
        <f t="shared" si="159"/>
        <v>0</v>
      </c>
      <c r="I398" s="218">
        <f t="shared" si="164"/>
        <v>0</v>
      </c>
      <c r="J398" s="1"/>
      <c r="K398" s="1"/>
      <c r="L398" s="230" t="str">
        <f>LOOKUP(G29,squad!$B$18:$B$59,squad!$G$18:$G$59)</f>
        <v> </v>
      </c>
      <c r="M398" s="1" t="s">
        <v>13</v>
      </c>
      <c r="N398" s="1">
        <f t="shared" si="160"/>
        <v>0</v>
      </c>
      <c r="O398" s="218">
        <f t="shared" si="165"/>
        <v>0</v>
      </c>
      <c r="P398" s="1"/>
      <c r="Q398" s="24"/>
      <c r="R398" s="88" t="str">
        <f>LOOKUP(M29,squad!$B$18:$B$59,squad!$G$18:$G$59)</f>
        <v> </v>
      </c>
      <c r="S398" s="25" t="s">
        <v>13</v>
      </c>
      <c r="T398" s="1">
        <f t="shared" si="161"/>
        <v>0</v>
      </c>
      <c r="U398" s="218">
        <f t="shared" si="166"/>
        <v>0</v>
      </c>
      <c r="V398" s="1"/>
      <c r="W398" s="24"/>
      <c r="X398" s="230" t="str">
        <f>LOOKUP(S29,squad!$B$18:$B$59,squad!$G$18:$G$59)</f>
        <v> </v>
      </c>
      <c r="Y398" s="1" t="s">
        <v>13</v>
      </c>
      <c r="Z398" s="1">
        <f t="shared" si="162"/>
        <v>0</v>
      </c>
      <c r="AA398" s="218">
        <f t="shared" si="167"/>
        <v>0</v>
      </c>
      <c r="AB398" s="1"/>
      <c r="AC398" s="1"/>
      <c r="AD398" s="230" t="str">
        <f>LOOKUP(Y29,squad!$B$18:$B$59,squad!$G$18:$G$59)</f>
        <v> </v>
      </c>
    </row>
    <row r="399" spans="1:30" ht="13.5" hidden="1" thickBot="1">
      <c r="A399" s="221" t="s">
        <v>13</v>
      </c>
      <c r="B399" s="26">
        <f t="shared" si="158"/>
        <v>0</v>
      </c>
      <c r="C399" s="218">
        <f t="shared" si="163"/>
        <v>0</v>
      </c>
      <c r="D399" s="26"/>
      <c r="E399" s="26"/>
      <c r="F399" s="231" t="str">
        <f>LOOKUP(A30,squad!$B$18:$B$59,squad!$G$18:$G$59)</f>
        <v> </v>
      </c>
      <c r="G399" s="26" t="s">
        <v>13</v>
      </c>
      <c r="H399" s="26">
        <f t="shared" si="159"/>
        <v>0</v>
      </c>
      <c r="I399" s="218">
        <f t="shared" si="164"/>
        <v>0</v>
      </c>
      <c r="J399" s="26"/>
      <c r="K399" s="26"/>
      <c r="L399" s="231" t="str">
        <f>LOOKUP(G30,squad!$B$18:$B$59,squad!$G$18:$G$59)</f>
        <v> </v>
      </c>
      <c r="M399" s="26" t="s">
        <v>13</v>
      </c>
      <c r="N399" s="26">
        <f t="shared" si="160"/>
        <v>0</v>
      </c>
      <c r="O399" s="218">
        <f t="shared" si="165"/>
        <v>0</v>
      </c>
      <c r="P399" s="26"/>
      <c r="Q399" s="29"/>
      <c r="R399" s="229" t="str">
        <f>LOOKUP(M30,squad!$B$18:$B$59,squad!$G$18:$G$59)</f>
        <v> </v>
      </c>
      <c r="S399" s="221" t="s">
        <v>13</v>
      </c>
      <c r="T399" s="26">
        <f t="shared" si="161"/>
        <v>0</v>
      </c>
      <c r="U399" s="218">
        <f t="shared" si="166"/>
        <v>0</v>
      </c>
      <c r="V399" s="26"/>
      <c r="W399" s="29"/>
      <c r="X399" s="231" t="str">
        <f>LOOKUP(S30,squad!$B$18:$B$59,squad!$G$18:$G$59)</f>
        <v> </v>
      </c>
      <c r="Y399" s="26" t="s">
        <v>13</v>
      </c>
      <c r="Z399" s="26">
        <f t="shared" si="162"/>
        <v>0</v>
      </c>
      <c r="AA399" s="218">
        <f t="shared" si="167"/>
        <v>0</v>
      </c>
      <c r="AB399" s="26"/>
      <c r="AC399" s="26"/>
      <c r="AD399" s="231" t="str">
        <f>LOOKUP(Y30,squad!$B$18:$B$59,squad!$G$18:$G$59)</f>
        <v> </v>
      </c>
    </row>
    <row r="400" spans="1:30" ht="12.75" hidden="1">
      <c r="A400" s="25" t="s">
        <v>14</v>
      </c>
      <c r="B400" s="1">
        <f t="shared" si="158"/>
        <v>0</v>
      </c>
      <c r="C400" s="2">
        <f>IF(B400="LS",INT(F75/2),0)</f>
        <v>0</v>
      </c>
      <c r="D400" s="1">
        <f>-IF(AM64&gt;1,C400,0)</f>
        <v>0</v>
      </c>
      <c r="E400" s="1"/>
      <c r="F400" s="230" t="str">
        <f>LOOKUP(A31,squad!$B$18:$B$59,squad!$G$18:$G$59)</f>
        <v> </v>
      </c>
      <c r="G400" s="1" t="s">
        <v>14</v>
      </c>
      <c r="H400" s="1">
        <f t="shared" si="159"/>
        <v>0</v>
      </c>
      <c r="I400" s="2">
        <f>IF(H400="LS",INT(L75/2),0)</f>
        <v>0</v>
      </c>
      <c r="J400" s="1">
        <f>-IF(AS64&gt;1,I400,0)</f>
        <v>0</v>
      </c>
      <c r="K400" s="1"/>
      <c r="L400" s="230" t="str">
        <f>LOOKUP(G31,squad!$B$18:$B$59,squad!$G$18:$G$59)</f>
        <v> </v>
      </c>
      <c r="M400" s="25" t="s">
        <v>14</v>
      </c>
      <c r="N400" s="1">
        <f t="shared" si="160"/>
        <v>0</v>
      </c>
      <c r="O400" s="2">
        <f>IF(N400="LS",INT(R75/2),0)</f>
        <v>0</v>
      </c>
      <c r="P400" s="1">
        <f>-IF(AY64&gt;1,O400,0)</f>
        <v>0</v>
      </c>
      <c r="Q400" s="1"/>
      <c r="R400" s="230" t="str">
        <f>LOOKUP(M31,squad!$B$18:$B$59,squad!$G$18:$G$59)</f>
        <v> </v>
      </c>
      <c r="S400" s="25" t="s">
        <v>14</v>
      </c>
      <c r="T400" s="1">
        <f t="shared" si="161"/>
        <v>0</v>
      </c>
      <c r="U400" s="2">
        <f>IF(T400="LS",INT(X75/2),0)</f>
        <v>0</v>
      </c>
      <c r="V400" s="1">
        <f>-IF(BE64&gt;1,U400,0)</f>
        <v>0</v>
      </c>
      <c r="W400" s="1"/>
      <c r="X400" s="230" t="str">
        <f>LOOKUP(S31,squad!$B$18:$B$59,squad!$G$18:$G$59)</f>
        <v> </v>
      </c>
      <c r="Y400" s="25" t="s">
        <v>14</v>
      </c>
      <c r="Z400" s="1">
        <f t="shared" si="162"/>
        <v>0</v>
      </c>
      <c r="AA400" s="2">
        <f>IF(Z400="LS",INT(AD75/2),0)</f>
        <v>0</v>
      </c>
      <c r="AB400" s="1">
        <f>-IF(BK64&gt;1,AA400,0)</f>
        <v>0</v>
      </c>
      <c r="AC400" s="1"/>
      <c r="AD400" s="230" t="str">
        <f>LOOKUP(Y31,squad!$B$18:$B$59,squad!$G$18:$G$59)</f>
        <v> </v>
      </c>
    </row>
    <row r="401" spans="1:30" ht="12.75" hidden="1">
      <c r="A401" s="25" t="s">
        <v>14</v>
      </c>
      <c r="B401" s="1">
        <f t="shared" si="158"/>
        <v>0</v>
      </c>
      <c r="C401" s="2">
        <f>IF(B401="LS",INT(F76/2),0)</f>
        <v>0</v>
      </c>
      <c r="D401" s="1">
        <f>-IF(AM64&gt;1,C401,0)</f>
        <v>0</v>
      </c>
      <c r="E401" s="1"/>
      <c r="F401" s="230" t="str">
        <f>LOOKUP(A32,squad!$B$18:$B$59,squad!$G$18:$G$59)</f>
        <v> </v>
      </c>
      <c r="G401" s="1" t="s">
        <v>14</v>
      </c>
      <c r="H401" s="1">
        <f t="shared" si="159"/>
        <v>0</v>
      </c>
      <c r="I401" s="2">
        <f>IF(H401="LS",INT(L76/2),0)</f>
        <v>0</v>
      </c>
      <c r="J401" s="1">
        <f>-IF(AS64&gt;1,I401,0)</f>
        <v>0</v>
      </c>
      <c r="K401" s="1"/>
      <c r="L401" s="230" t="str">
        <f>LOOKUP(G32,squad!$B$18:$B$59,squad!$G$18:$G$59)</f>
        <v> </v>
      </c>
      <c r="M401" s="25" t="s">
        <v>14</v>
      </c>
      <c r="N401" s="1">
        <f t="shared" si="160"/>
        <v>0</v>
      </c>
      <c r="O401" s="2">
        <f>IF(N401="LS",INT(R76/2),0)</f>
        <v>0</v>
      </c>
      <c r="P401" s="1">
        <f>-IF(AY64&gt;1,O401,0)</f>
        <v>0</v>
      </c>
      <c r="Q401" s="1"/>
      <c r="R401" s="230" t="str">
        <f>LOOKUP(M32,squad!$B$18:$B$59,squad!$G$18:$G$59)</f>
        <v> </v>
      </c>
      <c r="S401" s="25" t="s">
        <v>14</v>
      </c>
      <c r="T401" s="1">
        <f t="shared" si="161"/>
        <v>0</v>
      </c>
      <c r="U401" s="2">
        <f>IF(T401="LS",INT(X76/2),0)</f>
        <v>0</v>
      </c>
      <c r="V401" s="1">
        <f>-IF(BE64&gt;1,U401,0)</f>
        <v>0</v>
      </c>
      <c r="W401" s="1"/>
      <c r="X401" s="230" t="str">
        <f>LOOKUP(S32,squad!$B$18:$B$59,squad!$G$18:$G$59)</f>
        <v> </v>
      </c>
      <c r="Y401" s="25" t="s">
        <v>14</v>
      </c>
      <c r="Z401" s="1">
        <f t="shared" si="162"/>
        <v>0</v>
      </c>
      <c r="AA401" s="2">
        <f>IF(Z401="LS",INT(AD76/2),0)</f>
        <v>0</v>
      </c>
      <c r="AB401" s="1">
        <f>-IF(BK64&gt;1,AA401,0)</f>
        <v>0</v>
      </c>
      <c r="AC401" s="1"/>
      <c r="AD401" s="230" t="str">
        <f>LOOKUP(Y32,squad!$B$18:$B$59,squad!$G$18:$G$59)</f>
        <v> </v>
      </c>
    </row>
    <row r="402" spans="1:30" ht="12.75" hidden="1">
      <c r="A402" s="25" t="s">
        <v>14</v>
      </c>
      <c r="B402" s="1">
        <f t="shared" si="158"/>
        <v>0</v>
      </c>
      <c r="C402" s="2">
        <f>IF(B402="LS",INT(F77/2),0)</f>
        <v>0</v>
      </c>
      <c r="D402" s="1">
        <f>-IF(AM64&gt;1,C402,0)</f>
        <v>0</v>
      </c>
      <c r="E402" s="1"/>
      <c r="F402" s="230" t="str">
        <f>LOOKUP(A33,squad!$B$18:$B$59,squad!$G$18:$G$59)</f>
        <v> </v>
      </c>
      <c r="G402" s="1" t="s">
        <v>14</v>
      </c>
      <c r="H402" s="1">
        <f t="shared" si="159"/>
        <v>0</v>
      </c>
      <c r="I402" s="2">
        <f>IF(H402="LS",INT(L77/2),0)</f>
        <v>0</v>
      </c>
      <c r="J402" s="1">
        <f>-IF(AS64&gt;1,I402,0)</f>
        <v>0</v>
      </c>
      <c r="K402" s="1"/>
      <c r="L402" s="230" t="str">
        <f>LOOKUP(G33,squad!$B$18:$B$59,squad!$G$18:$G$59)</f>
        <v> </v>
      </c>
      <c r="M402" s="25" t="s">
        <v>14</v>
      </c>
      <c r="N402" s="1">
        <f t="shared" si="160"/>
        <v>0</v>
      </c>
      <c r="O402" s="2">
        <f>IF(N402="LS",INT(R77/2),0)</f>
        <v>0</v>
      </c>
      <c r="P402" s="1">
        <f>-IF(AY64&gt;1,O402,0)</f>
        <v>0</v>
      </c>
      <c r="Q402" s="1"/>
      <c r="R402" s="230" t="str">
        <f>LOOKUP(M33,squad!$B$18:$B$59,squad!$G$18:$G$59)</f>
        <v> </v>
      </c>
      <c r="S402" s="25" t="s">
        <v>14</v>
      </c>
      <c r="T402" s="1">
        <f t="shared" si="161"/>
        <v>0</v>
      </c>
      <c r="U402" s="2">
        <f>IF(T402="LS",INT(X77/2),0)</f>
        <v>0</v>
      </c>
      <c r="V402" s="1">
        <f>-IF(BE64&gt;1,U402,0)</f>
        <v>0</v>
      </c>
      <c r="W402" s="1"/>
      <c r="X402" s="230" t="str">
        <f>LOOKUP(S33,squad!$B$18:$B$59,squad!$G$18:$G$59)</f>
        <v> </v>
      </c>
      <c r="Y402" s="25" t="s">
        <v>14</v>
      </c>
      <c r="Z402" s="1">
        <f t="shared" si="162"/>
        <v>0</v>
      </c>
      <c r="AA402" s="2">
        <f>IF(Z402="LS",INT(AD77/2),0)</f>
        <v>0</v>
      </c>
      <c r="AB402" s="1">
        <f>-IF(BK64&gt;1,AA402,0)</f>
        <v>0</v>
      </c>
      <c r="AC402" s="1"/>
      <c r="AD402" s="230" t="str">
        <f>LOOKUP(Y33,squad!$B$18:$B$59,squad!$G$18:$G$59)</f>
        <v> </v>
      </c>
    </row>
    <row r="403" spans="1:30" ht="12.75" hidden="1">
      <c r="A403" s="25" t="s">
        <v>14</v>
      </c>
      <c r="B403" s="1">
        <f t="shared" si="158"/>
        <v>0</v>
      </c>
      <c r="C403" s="2">
        <f>IF(B403="LS",INT(F78/2),0)</f>
        <v>0</v>
      </c>
      <c r="D403" s="1">
        <f>-IF(AM64&gt;1,C403,0)</f>
        <v>0</v>
      </c>
      <c r="E403" s="1"/>
      <c r="F403" s="230" t="str">
        <f>LOOKUP(A34,squad!$B$18:$B$59,squad!$G$18:$G$59)</f>
        <v> </v>
      </c>
      <c r="G403" s="1" t="s">
        <v>14</v>
      </c>
      <c r="H403" s="1">
        <f t="shared" si="159"/>
        <v>0</v>
      </c>
      <c r="I403" s="2">
        <f>IF(H403="LS",INT(L78/2),0)</f>
        <v>0</v>
      </c>
      <c r="J403" s="1">
        <f>-IF(AS64&gt;1,I403,0)</f>
        <v>0</v>
      </c>
      <c r="K403" s="1"/>
      <c r="L403" s="230" t="str">
        <f>LOOKUP(G34,squad!$B$18:$B$59,squad!$G$18:$G$59)</f>
        <v> </v>
      </c>
      <c r="M403" s="25" t="s">
        <v>14</v>
      </c>
      <c r="N403" s="1">
        <f t="shared" si="160"/>
        <v>0</v>
      </c>
      <c r="O403" s="2">
        <f>IF(N403="LS",INT(R78/2),0)</f>
        <v>0</v>
      </c>
      <c r="P403" s="1">
        <f>-IF(AY64&gt;1,O403,0)</f>
        <v>0</v>
      </c>
      <c r="Q403" s="1"/>
      <c r="R403" s="230" t="str">
        <f>LOOKUP(M34,squad!$B$18:$B$59,squad!$G$18:$G$59)</f>
        <v> </v>
      </c>
      <c r="S403" s="25" t="s">
        <v>14</v>
      </c>
      <c r="T403" s="1">
        <f t="shared" si="161"/>
        <v>0</v>
      </c>
      <c r="U403" s="2">
        <f>IF(T403="LS",INT(X78/2),0)</f>
        <v>0</v>
      </c>
      <c r="V403" s="1">
        <f>-IF(BE64&gt;1,U403,0)</f>
        <v>0</v>
      </c>
      <c r="W403" s="1"/>
      <c r="X403" s="230" t="str">
        <f>LOOKUP(S34,squad!$B$18:$B$59,squad!$G$18:$G$59)</f>
        <v> </v>
      </c>
      <c r="Y403" s="25" t="s">
        <v>14</v>
      </c>
      <c r="Z403" s="1">
        <f t="shared" si="162"/>
        <v>0</v>
      </c>
      <c r="AA403" s="2">
        <f>IF(Z403="LS",INT(AD78/2),0)</f>
        <v>0</v>
      </c>
      <c r="AB403" s="1">
        <f>-IF(BK64&gt;1,AA403,0)</f>
        <v>0</v>
      </c>
      <c r="AC403" s="1"/>
      <c r="AD403" s="230" t="str">
        <f>LOOKUP(Y34,squad!$B$18:$B$59,squad!$G$18:$G$59)</f>
        <v> </v>
      </c>
    </row>
    <row r="404" spans="1:30" ht="12.75" hidden="1">
      <c r="A404" s="25" t="s">
        <v>14</v>
      </c>
      <c r="B404" s="1">
        <f t="shared" si="158"/>
        <v>0</v>
      </c>
      <c r="C404" s="2">
        <f>IF(B404="LS",INT(F79/2),0)</f>
        <v>0</v>
      </c>
      <c r="D404" s="1">
        <f>-IF(AM64&gt;1,C404,0)</f>
        <v>0</v>
      </c>
      <c r="E404" s="1"/>
      <c r="F404" s="230" t="str">
        <f>LOOKUP(A35,squad!$B$18:$B$59,squad!$G$18:$G$59)</f>
        <v> </v>
      </c>
      <c r="G404" s="1" t="s">
        <v>14</v>
      </c>
      <c r="H404" s="1">
        <f t="shared" si="159"/>
        <v>0</v>
      </c>
      <c r="I404" s="2">
        <f>IF(H404="LS",INT(L79/2),0)</f>
        <v>0</v>
      </c>
      <c r="J404" s="1">
        <f>-IF(AS64&gt;1,I404,0)</f>
        <v>0</v>
      </c>
      <c r="K404" s="1"/>
      <c r="L404" s="230" t="str">
        <f>LOOKUP(G35,squad!$B$18:$B$59,squad!$G$18:$G$59)</f>
        <v> </v>
      </c>
      <c r="M404" s="25" t="s">
        <v>14</v>
      </c>
      <c r="N404" s="1">
        <f t="shared" si="160"/>
        <v>0</v>
      </c>
      <c r="O404" s="2">
        <f>IF(N404="LS",INT(R79/2),0)</f>
        <v>0</v>
      </c>
      <c r="P404" s="1">
        <f>-IF(AY64&gt;1,O404,0)</f>
        <v>0</v>
      </c>
      <c r="Q404" s="1"/>
      <c r="R404" s="230" t="str">
        <f>LOOKUP(M35,squad!$B$18:$B$59,squad!$G$18:$G$59)</f>
        <v> </v>
      </c>
      <c r="S404" s="25" t="s">
        <v>14</v>
      </c>
      <c r="T404" s="1">
        <f t="shared" si="161"/>
        <v>0</v>
      </c>
      <c r="U404" s="2">
        <f>IF(T404="LS",INT(X79/2),0)</f>
        <v>0</v>
      </c>
      <c r="V404" s="1">
        <f>-IF(BE64&gt;1,U404,0)</f>
        <v>0</v>
      </c>
      <c r="W404" s="1"/>
      <c r="X404" s="230" t="str">
        <f>LOOKUP(S35,squad!$B$18:$B$59,squad!$G$18:$G$59)</f>
        <v> </v>
      </c>
      <c r="Y404" s="25" t="s">
        <v>14</v>
      </c>
      <c r="Z404" s="1">
        <f t="shared" si="162"/>
        <v>0</v>
      </c>
      <c r="AA404" s="2">
        <f>IF(Z404="LS",INT(AD79/2),0)</f>
        <v>0</v>
      </c>
      <c r="AB404" s="1">
        <f>-IF(BK64&gt;1,AA404,0)</f>
        <v>0</v>
      </c>
      <c r="AC404" s="1"/>
      <c r="AD404" s="230" t="str">
        <f>LOOKUP(Y35,squad!$B$18:$B$59,squad!$G$18:$G$59)</f>
        <v> </v>
      </c>
    </row>
    <row r="405" spans="1:30" ht="13.5" hidden="1" thickBot="1">
      <c r="A405" s="221" t="s">
        <v>14</v>
      </c>
      <c r="B405" s="26">
        <f t="shared" si="158"/>
        <v>0</v>
      </c>
      <c r="C405" s="190">
        <f>IF(B405="LS",INT(F81/2),0)</f>
        <v>0</v>
      </c>
      <c r="D405" s="26">
        <f>-IF(AM64&gt;1,C405,0)</f>
        <v>0</v>
      </c>
      <c r="E405" s="26"/>
      <c r="F405" s="231" t="str">
        <f>LOOKUP(A36,squad!$B$18:$B$59,squad!$G$18:$G$59)</f>
        <v> </v>
      </c>
      <c r="G405" s="26" t="s">
        <v>14</v>
      </c>
      <c r="H405" s="26">
        <f t="shared" si="159"/>
        <v>0</v>
      </c>
      <c r="I405" s="190">
        <f>IF(H405="LS",INT(L81/2),0)</f>
        <v>0</v>
      </c>
      <c r="J405" s="26">
        <f>-IF(AS64&gt;1,I405,0)</f>
        <v>0</v>
      </c>
      <c r="K405" s="26"/>
      <c r="L405" s="231" t="str">
        <f>LOOKUP(G36,squad!$B$18:$B$59,squad!$G$18:$G$59)</f>
        <v> </v>
      </c>
      <c r="M405" s="221" t="s">
        <v>14</v>
      </c>
      <c r="N405" s="26">
        <f t="shared" si="160"/>
        <v>0</v>
      </c>
      <c r="O405" s="190">
        <f>IF(N405="LS",INT(R81/2),0)</f>
        <v>0</v>
      </c>
      <c r="P405" s="26">
        <f>-IF(AY64&gt;1,O405,0)</f>
        <v>0</v>
      </c>
      <c r="Q405" s="26"/>
      <c r="R405" s="231" t="str">
        <f>LOOKUP(M36,squad!$B$18:$B$59,squad!$G$18:$G$59)</f>
        <v> </v>
      </c>
      <c r="S405" s="221" t="s">
        <v>14</v>
      </c>
      <c r="T405" s="26">
        <f t="shared" si="161"/>
        <v>0</v>
      </c>
      <c r="U405" s="190">
        <f>IF(T405="LS",INT(X81/2),0)</f>
        <v>0</v>
      </c>
      <c r="V405" s="26">
        <f>-IF(BE64&gt;1,U405,0)</f>
        <v>0</v>
      </c>
      <c r="W405" s="26"/>
      <c r="X405" s="231" t="str">
        <f>LOOKUP(S36,squad!$B$18:$B$59,squad!$G$18:$G$59)</f>
        <v> </v>
      </c>
      <c r="Y405" s="221" t="s">
        <v>14</v>
      </c>
      <c r="Z405" s="26">
        <f>AZ36</f>
        <v>0</v>
      </c>
      <c r="AA405" s="190">
        <f>IF(Z405="LS",INT(AD81/2),0)</f>
        <v>0</v>
      </c>
      <c r="AB405" s="26">
        <f>-IF(BK64&gt;1,AA405,0)</f>
        <v>0</v>
      </c>
      <c r="AC405" s="26"/>
      <c r="AD405" s="231" t="str">
        <f>LOOKUP(Y36,squad!$B$18:$B$59,squad!$G$18:$G$59)</f>
        <v> </v>
      </c>
    </row>
    <row r="406" spans="1:30" ht="12.75" hidden="1">
      <c r="A406" s="222" t="s">
        <v>296</v>
      </c>
      <c r="B406" s="223"/>
      <c r="C406" s="223"/>
      <c r="D406" s="223"/>
      <c r="E406" s="223"/>
      <c r="F406" s="227"/>
      <c r="G406" s="222" t="s">
        <v>296</v>
      </c>
      <c r="H406" s="223"/>
      <c r="I406" s="223"/>
      <c r="J406" s="223"/>
      <c r="K406" s="223"/>
      <c r="L406" s="224"/>
      <c r="M406" s="222" t="s">
        <v>296</v>
      </c>
      <c r="N406" s="223"/>
      <c r="O406" s="223"/>
      <c r="P406" s="223"/>
      <c r="Q406" s="223"/>
      <c r="R406" s="224"/>
      <c r="S406" s="222" t="s">
        <v>296</v>
      </c>
      <c r="T406" s="223"/>
      <c r="U406" s="223"/>
      <c r="V406" s="223"/>
      <c r="W406" s="223"/>
      <c r="X406" s="224"/>
      <c r="Y406" s="222" t="s">
        <v>296</v>
      </c>
      <c r="Z406" s="223"/>
      <c r="AA406" s="223"/>
      <c r="AB406" s="223"/>
      <c r="AC406" s="223"/>
      <c r="AD406" s="224"/>
    </row>
    <row r="407" spans="1:30" ht="13.5" hidden="1" thickBot="1">
      <c r="A407" s="160"/>
      <c r="B407" s="161" t="s">
        <v>287</v>
      </c>
      <c r="C407" s="161"/>
      <c r="D407" s="161"/>
      <c r="E407" s="161"/>
      <c r="F407" s="225"/>
      <c r="G407" s="160"/>
      <c r="H407" s="161" t="s">
        <v>287</v>
      </c>
      <c r="I407" s="161"/>
      <c r="J407" s="161"/>
      <c r="K407" s="161"/>
      <c r="L407" s="225"/>
      <c r="M407" s="160"/>
      <c r="N407" s="161" t="s">
        <v>287</v>
      </c>
      <c r="O407" s="161"/>
      <c r="P407" s="161"/>
      <c r="Q407" s="161"/>
      <c r="R407" s="225"/>
      <c r="S407" s="160"/>
      <c r="T407" s="161" t="s">
        <v>287</v>
      </c>
      <c r="U407" s="161"/>
      <c r="V407" s="161"/>
      <c r="W407" s="161"/>
      <c r="X407" s="225"/>
      <c r="Y407" s="160"/>
      <c r="Z407" s="161" t="s">
        <v>287</v>
      </c>
      <c r="AA407" s="161"/>
      <c r="AB407" s="161"/>
      <c r="AC407" s="161"/>
      <c r="AD407" s="225"/>
    </row>
    <row r="408" spans="1:30" ht="13.5" hidden="1" thickBot="1">
      <c r="A408" s="25" t="s">
        <v>10</v>
      </c>
      <c r="B408" s="1">
        <f>AG17</f>
        <v>0</v>
      </c>
      <c r="C408" s="1"/>
      <c r="D408" s="1"/>
      <c r="E408" s="1"/>
      <c r="F408" s="232" t="str">
        <f>LOOKUP(A17,squad!$B$18:$B$59,squad!$G$18:$G$59)</f>
        <v> </v>
      </c>
      <c r="G408" s="226" t="s">
        <v>10</v>
      </c>
      <c r="H408" s="218">
        <f>AH17</f>
        <v>0</v>
      </c>
      <c r="I408" s="218"/>
      <c r="J408" s="218"/>
      <c r="K408" s="218"/>
      <c r="L408" s="232" t="str">
        <f>LOOKUP(G17,squad!$B$18:$B$59,squad!$G$18:$G$59)</f>
        <v> </v>
      </c>
      <c r="M408" s="226" t="s">
        <v>10</v>
      </c>
      <c r="N408" s="218">
        <f>AI17</f>
        <v>0</v>
      </c>
      <c r="O408" s="218"/>
      <c r="P408" s="218"/>
      <c r="Q408" s="218"/>
      <c r="R408" s="232" t="str">
        <f>LOOKUP(M17,squad!$B$18:$B$59,squad!$G$18:$G$59)</f>
        <v> </v>
      </c>
      <c r="S408" s="226" t="s">
        <v>10</v>
      </c>
      <c r="T408" s="218">
        <f>AJ17</f>
        <v>0</v>
      </c>
      <c r="U408" s="218"/>
      <c r="V408" s="218"/>
      <c r="W408" s="218"/>
      <c r="X408" s="232" t="str">
        <f>LOOKUP(S17,squad!$B$18:$B$59,squad!$G$18:$G$59)</f>
        <v> </v>
      </c>
      <c r="Y408" s="226" t="s">
        <v>10</v>
      </c>
      <c r="Z408" s="218">
        <f>AK17</f>
        <v>0</v>
      </c>
      <c r="AA408" s="218"/>
      <c r="AB408" s="218"/>
      <c r="AC408" s="218"/>
      <c r="AD408" s="232" t="str">
        <f>LOOKUP(Y17,squad!$B$18:$B$59,squad!$G$18:$G$59)</f>
        <v> </v>
      </c>
    </row>
    <row r="409" spans="1:30" ht="13.5" hidden="1" thickBot="1">
      <c r="A409" s="216" t="s">
        <v>11</v>
      </c>
      <c r="B409" s="217">
        <f aca="true" t="shared" si="168" ref="B409:B427">AG18</f>
        <v>0</v>
      </c>
      <c r="C409" s="217"/>
      <c r="D409" s="217"/>
      <c r="E409" s="217"/>
      <c r="F409" s="245" t="str">
        <f>LOOKUP(A18,squad!$B$18:$B$59,squad!$G$18:$G$59)</f>
        <v> </v>
      </c>
      <c r="G409" s="216" t="s">
        <v>11</v>
      </c>
      <c r="H409" s="217">
        <f aca="true" t="shared" si="169" ref="H409:H427">AH18</f>
        <v>0</v>
      </c>
      <c r="I409" s="217"/>
      <c r="J409" s="217"/>
      <c r="K409" s="217"/>
      <c r="L409" s="245" t="str">
        <f>LOOKUP(G18,squad!$B$18:$B$59,squad!$G$18:$G$59)</f>
        <v> </v>
      </c>
      <c r="M409" s="216" t="s">
        <v>11</v>
      </c>
      <c r="N409" s="217">
        <f aca="true" t="shared" si="170" ref="N409:N427">AI18</f>
        <v>0</v>
      </c>
      <c r="O409" s="217"/>
      <c r="P409" s="217"/>
      <c r="Q409" s="217"/>
      <c r="R409" s="245" t="str">
        <f>LOOKUP(M18,squad!$B$18:$B$59,squad!$G$18:$G$59)</f>
        <v> </v>
      </c>
      <c r="S409" s="216" t="s">
        <v>11</v>
      </c>
      <c r="T409" s="217">
        <f aca="true" t="shared" si="171" ref="T409:T427">AJ18</f>
        <v>0</v>
      </c>
      <c r="U409" s="217"/>
      <c r="V409" s="217"/>
      <c r="W409" s="217"/>
      <c r="X409" s="245" t="str">
        <f>LOOKUP(S18,squad!$B$18:$B$59,squad!$G$18:$G$59)</f>
        <v> </v>
      </c>
      <c r="Y409" s="216" t="s">
        <v>11</v>
      </c>
      <c r="Z409" s="217">
        <f aca="true" t="shared" si="172" ref="Z409:Z427">AK18</f>
        <v>0</v>
      </c>
      <c r="AA409" s="217"/>
      <c r="AB409" s="217"/>
      <c r="AC409" s="217"/>
      <c r="AD409" s="245" t="str">
        <f>LOOKUP(Y18,squad!$B$18:$B$59,squad!$G$18:$G$59)</f>
        <v> </v>
      </c>
    </row>
    <row r="410" spans="1:30" ht="12.75" hidden="1">
      <c r="A410" s="25" t="s">
        <v>12</v>
      </c>
      <c r="B410" s="1">
        <f t="shared" si="168"/>
        <v>0</v>
      </c>
      <c r="C410" s="1">
        <f aca="true" t="shared" si="173" ref="C410:C415">IF(B410="WB",IF(F410="I",1,IF(F410="II",2,IF(F410="III",3,IF(F410="IV",4,IF(F410="V",5,0))))),0)</f>
        <v>0</v>
      </c>
      <c r="D410" s="1"/>
      <c r="E410" s="1"/>
      <c r="F410" s="230" t="str">
        <f>LOOKUP(A19,squad!$B$18:$B$59,squad!$G$18:$G$59)</f>
        <v> </v>
      </c>
      <c r="G410" s="25" t="s">
        <v>12</v>
      </c>
      <c r="H410" s="1">
        <f t="shared" si="169"/>
        <v>0</v>
      </c>
      <c r="I410" s="1">
        <f aca="true" t="shared" si="174" ref="I410:I415">IF(H410="WB",IF(L410="I",1,IF(L410="II",2,IF(L410="III",3,IF(L410="IV",4,IF(L410="V",5,0))))),0)</f>
        <v>0</v>
      </c>
      <c r="J410" s="1"/>
      <c r="K410" s="1"/>
      <c r="L410" s="230" t="str">
        <f>LOOKUP(G19,squad!$B$18:$B$59,squad!$G$18:$G$59)</f>
        <v> </v>
      </c>
      <c r="M410" s="25" t="s">
        <v>12</v>
      </c>
      <c r="N410" s="1">
        <f t="shared" si="170"/>
        <v>0</v>
      </c>
      <c r="O410" s="1">
        <f aca="true" t="shared" si="175" ref="O410:O415">IF(N410="WB",IF(R410="I",1,IF(R410="II",2,IF(R410="III",3,IF(R410="IV",4,IF(R410="V",5,0))))),0)</f>
        <v>0</v>
      </c>
      <c r="P410" s="1"/>
      <c r="Q410" s="1"/>
      <c r="R410" s="230" t="str">
        <f>LOOKUP(M19,squad!$B$18:$B$59,squad!$G$18:$G$59)</f>
        <v> </v>
      </c>
      <c r="S410" s="25" t="s">
        <v>12</v>
      </c>
      <c r="T410" s="1">
        <f t="shared" si="171"/>
        <v>0</v>
      </c>
      <c r="U410" s="1">
        <f aca="true" t="shared" si="176" ref="U410:U415">IF(T410="WB",IF(X410="I",1,IF(X410="II",2,IF(X410="III",3,IF(X410="IV",4,IF(X410="V",5,0))))),0)</f>
        <v>0</v>
      </c>
      <c r="V410" s="1"/>
      <c r="W410" s="1"/>
      <c r="X410" s="230" t="str">
        <f>LOOKUP(S19,squad!$B$18:$B$59,squad!$G$18:$G$59)</f>
        <v> </v>
      </c>
      <c r="Y410" s="25" t="s">
        <v>12</v>
      </c>
      <c r="Z410" s="1">
        <f t="shared" si="172"/>
        <v>0</v>
      </c>
      <c r="AA410" s="1">
        <f aca="true" t="shared" si="177" ref="AA410:AA415">IF(Z410="WB",IF(AD410="I",1,IF(AD410="II",2,IF(AD410="III",3,IF(AD410="IV",4,IF(AD410="V",5,0))))),0)</f>
        <v>0</v>
      </c>
      <c r="AB410" s="1"/>
      <c r="AC410" s="1"/>
      <c r="AD410" s="230" t="str">
        <f>LOOKUP(Y19,squad!$B$18:$B$59,squad!$G$18:$G$59)</f>
        <v> </v>
      </c>
    </row>
    <row r="411" spans="1:30" ht="12.75" hidden="1">
      <c r="A411" s="25" t="s">
        <v>12</v>
      </c>
      <c r="B411" s="1">
        <f t="shared" si="168"/>
        <v>0</v>
      </c>
      <c r="C411" s="1">
        <f t="shared" si="173"/>
        <v>0</v>
      </c>
      <c r="D411" s="1"/>
      <c r="E411" s="1"/>
      <c r="F411" s="230" t="str">
        <f>LOOKUP(A20,squad!$B$18:$B$59,squad!$G$18:$G$59)</f>
        <v> </v>
      </c>
      <c r="G411" s="25" t="s">
        <v>12</v>
      </c>
      <c r="H411" s="1">
        <f t="shared" si="169"/>
        <v>0</v>
      </c>
      <c r="I411" s="1">
        <f t="shared" si="174"/>
        <v>0</v>
      </c>
      <c r="J411" s="1"/>
      <c r="K411" s="1"/>
      <c r="L411" s="230" t="str">
        <f>LOOKUP(G20,squad!$B$18:$B$59,squad!$G$18:$G$59)</f>
        <v> </v>
      </c>
      <c r="M411" s="25" t="s">
        <v>12</v>
      </c>
      <c r="N411" s="1">
        <f t="shared" si="170"/>
        <v>0</v>
      </c>
      <c r="O411" s="1">
        <f t="shared" si="175"/>
        <v>0</v>
      </c>
      <c r="P411" s="1"/>
      <c r="Q411" s="1"/>
      <c r="R411" s="230" t="str">
        <f>LOOKUP(M20,squad!$B$18:$B$59,squad!$G$18:$G$59)</f>
        <v> </v>
      </c>
      <c r="S411" s="25" t="s">
        <v>12</v>
      </c>
      <c r="T411" s="1">
        <f t="shared" si="171"/>
        <v>0</v>
      </c>
      <c r="U411" s="1">
        <f t="shared" si="176"/>
        <v>0</v>
      </c>
      <c r="V411" s="1"/>
      <c r="W411" s="1"/>
      <c r="X411" s="230" t="str">
        <f>LOOKUP(S20,squad!$B$18:$B$59,squad!$G$18:$G$59)</f>
        <v> </v>
      </c>
      <c r="Y411" s="25" t="s">
        <v>12</v>
      </c>
      <c r="Z411" s="1">
        <f t="shared" si="172"/>
        <v>0</v>
      </c>
      <c r="AA411" s="1">
        <f t="shared" si="177"/>
        <v>0</v>
      </c>
      <c r="AB411" s="1"/>
      <c r="AC411" s="1"/>
      <c r="AD411" s="230" t="str">
        <f>LOOKUP(Y20,squad!$B$18:$B$59,squad!$G$18:$G$59)</f>
        <v> </v>
      </c>
    </row>
    <row r="412" spans="1:30" ht="12.75" hidden="1">
      <c r="A412" s="25" t="s">
        <v>12</v>
      </c>
      <c r="B412" s="1">
        <f t="shared" si="168"/>
        <v>0</v>
      </c>
      <c r="C412" s="1">
        <f t="shared" si="173"/>
        <v>0</v>
      </c>
      <c r="D412" s="1"/>
      <c r="E412" s="1"/>
      <c r="F412" s="230" t="str">
        <f>LOOKUP(A21,squad!$B$18:$B$59,squad!$G$18:$G$59)</f>
        <v> </v>
      </c>
      <c r="G412" s="25" t="s">
        <v>12</v>
      </c>
      <c r="H412" s="1">
        <f t="shared" si="169"/>
        <v>0</v>
      </c>
      <c r="I412" s="1">
        <f t="shared" si="174"/>
        <v>0</v>
      </c>
      <c r="J412" s="1"/>
      <c r="K412" s="1"/>
      <c r="L412" s="230" t="str">
        <f>LOOKUP(G21,squad!$B$18:$B$59,squad!$G$18:$G$59)</f>
        <v> </v>
      </c>
      <c r="M412" s="25" t="s">
        <v>12</v>
      </c>
      <c r="N412" s="1">
        <f t="shared" si="170"/>
        <v>0</v>
      </c>
      <c r="O412" s="1">
        <f t="shared" si="175"/>
        <v>0</v>
      </c>
      <c r="P412" s="1"/>
      <c r="Q412" s="1"/>
      <c r="R412" s="230" t="str">
        <f>LOOKUP(M21,squad!$B$18:$B$59,squad!$G$18:$G$59)</f>
        <v> </v>
      </c>
      <c r="S412" s="25" t="s">
        <v>12</v>
      </c>
      <c r="T412" s="1">
        <f t="shared" si="171"/>
        <v>0</v>
      </c>
      <c r="U412" s="1">
        <f t="shared" si="176"/>
        <v>0</v>
      </c>
      <c r="V412" s="1"/>
      <c r="W412" s="1"/>
      <c r="X412" s="230" t="str">
        <f>LOOKUP(S21,squad!$B$18:$B$59,squad!$G$18:$G$59)</f>
        <v> </v>
      </c>
      <c r="Y412" s="25" t="s">
        <v>12</v>
      </c>
      <c r="Z412" s="1">
        <f t="shared" si="172"/>
        <v>0</v>
      </c>
      <c r="AA412" s="1">
        <f t="shared" si="177"/>
        <v>0</v>
      </c>
      <c r="AB412" s="1"/>
      <c r="AC412" s="1"/>
      <c r="AD412" s="230" t="str">
        <f>LOOKUP(Y21,squad!$B$18:$B$59,squad!$G$18:$G$59)</f>
        <v> </v>
      </c>
    </row>
    <row r="413" spans="1:30" ht="12.75" hidden="1">
      <c r="A413" s="25" t="s">
        <v>12</v>
      </c>
      <c r="B413" s="1">
        <f t="shared" si="168"/>
        <v>0</v>
      </c>
      <c r="C413" s="1">
        <f t="shared" si="173"/>
        <v>0</v>
      </c>
      <c r="D413" s="1"/>
      <c r="E413" s="1"/>
      <c r="F413" s="230" t="str">
        <f>LOOKUP(A22,squad!$B$18:$B$59,squad!$G$18:$G$59)</f>
        <v> </v>
      </c>
      <c r="G413" s="25" t="s">
        <v>12</v>
      </c>
      <c r="H413" s="1">
        <f t="shared" si="169"/>
        <v>0</v>
      </c>
      <c r="I413" s="1">
        <f t="shared" si="174"/>
        <v>0</v>
      </c>
      <c r="J413" s="1"/>
      <c r="K413" s="1"/>
      <c r="L413" s="230" t="str">
        <f>LOOKUP(G22,squad!$B$18:$B$59,squad!$G$18:$G$59)</f>
        <v> </v>
      </c>
      <c r="M413" s="25" t="s">
        <v>12</v>
      </c>
      <c r="N413" s="1">
        <f t="shared" si="170"/>
        <v>0</v>
      </c>
      <c r="O413" s="1">
        <f t="shared" si="175"/>
        <v>0</v>
      </c>
      <c r="P413" s="1"/>
      <c r="Q413" s="1"/>
      <c r="R413" s="230" t="str">
        <f>LOOKUP(M22,squad!$B$18:$B$59,squad!$G$18:$G$59)</f>
        <v> </v>
      </c>
      <c r="S413" s="25" t="s">
        <v>12</v>
      </c>
      <c r="T413" s="1">
        <f t="shared" si="171"/>
        <v>0</v>
      </c>
      <c r="U413" s="1">
        <f t="shared" si="176"/>
        <v>0</v>
      </c>
      <c r="V413" s="1"/>
      <c r="W413" s="1"/>
      <c r="X413" s="230" t="str">
        <f>LOOKUP(S22,squad!$B$18:$B$59,squad!$G$18:$G$59)</f>
        <v> </v>
      </c>
      <c r="Y413" s="25" t="s">
        <v>12</v>
      </c>
      <c r="Z413" s="1">
        <f t="shared" si="172"/>
        <v>0</v>
      </c>
      <c r="AA413" s="1">
        <f t="shared" si="177"/>
        <v>0</v>
      </c>
      <c r="AB413" s="1"/>
      <c r="AC413" s="1"/>
      <c r="AD413" s="230" t="str">
        <f>LOOKUP(Y22,squad!$B$18:$B$59,squad!$G$18:$G$59)</f>
        <v> </v>
      </c>
    </row>
    <row r="414" spans="1:30" ht="12.75" hidden="1">
      <c r="A414" s="25" t="s">
        <v>12</v>
      </c>
      <c r="B414" s="1">
        <f t="shared" si="168"/>
        <v>0</v>
      </c>
      <c r="C414" s="1">
        <f t="shared" si="173"/>
        <v>0</v>
      </c>
      <c r="D414" s="1"/>
      <c r="E414" s="1"/>
      <c r="F414" s="230" t="str">
        <f>LOOKUP(A23,squad!$B$18:$B$59,squad!$G$18:$G$59)</f>
        <v> </v>
      </c>
      <c r="G414" s="25" t="s">
        <v>12</v>
      </c>
      <c r="H414" s="1">
        <f t="shared" si="169"/>
        <v>0</v>
      </c>
      <c r="I414" s="1">
        <f t="shared" si="174"/>
        <v>0</v>
      </c>
      <c r="J414" s="1"/>
      <c r="K414" s="1"/>
      <c r="L414" s="230" t="str">
        <f>LOOKUP(G23,squad!$B$18:$B$59,squad!$G$18:$G$59)</f>
        <v> </v>
      </c>
      <c r="M414" s="25" t="s">
        <v>12</v>
      </c>
      <c r="N414" s="1">
        <f t="shared" si="170"/>
        <v>0</v>
      </c>
      <c r="O414" s="1">
        <f t="shared" si="175"/>
        <v>0</v>
      </c>
      <c r="P414" s="1"/>
      <c r="Q414" s="1"/>
      <c r="R414" s="230" t="str">
        <f>LOOKUP(M23,squad!$B$18:$B$59,squad!$G$18:$G$59)</f>
        <v> </v>
      </c>
      <c r="S414" s="25" t="s">
        <v>12</v>
      </c>
      <c r="T414" s="1">
        <f t="shared" si="171"/>
        <v>0</v>
      </c>
      <c r="U414" s="1">
        <f t="shared" si="176"/>
        <v>0</v>
      </c>
      <c r="V414" s="1"/>
      <c r="W414" s="1"/>
      <c r="X414" s="230" t="str">
        <f>LOOKUP(S23,squad!$B$18:$B$59,squad!$G$18:$G$59)</f>
        <v> </v>
      </c>
      <c r="Y414" s="25" t="s">
        <v>12</v>
      </c>
      <c r="Z414" s="1">
        <f t="shared" si="172"/>
        <v>0</v>
      </c>
      <c r="AA414" s="1">
        <f t="shared" si="177"/>
        <v>0</v>
      </c>
      <c r="AB414" s="1"/>
      <c r="AC414" s="1"/>
      <c r="AD414" s="230" t="str">
        <f>LOOKUP(Y23,squad!$B$18:$B$59,squad!$G$18:$G$59)</f>
        <v> </v>
      </c>
    </row>
    <row r="415" spans="1:30" ht="13.5" hidden="1" thickBot="1">
      <c r="A415" s="25" t="s">
        <v>12</v>
      </c>
      <c r="B415" s="1">
        <f t="shared" si="168"/>
        <v>0</v>
      </c>
      <c r="C415" s="1">
        <f t="shared" si="173"/>
        <v>0</v>
      </c>
      <c r="D415" s="1"/>
      <c r="E415" s="1"/>
      <c r="F415" s="230" t="str">
        <f>LOOKUP(A24,squad!$B$18:$B$59,squad!$G$18:$G$59)</f>
        <v> </v>
      </c>
      <c r="G415" s="25" t="s">
        <v>12</v>
      </c>
      <c r="H415" s="1">
        <f t="shared" si="169"/>
        <v>0</v>
      </c>
      <c r="I415" s="1">
        <f t="shared" si="174"/>
        <v>0</v>
      </c>
      <c r="J415" s="1"/>
      <c r="K415" s="1"/>
      <c r="L415" s="230" t="str">
        <f>LOOKUP(G24,squad!$B$18:$B$59,squad!$G$18:$G$59)</f>
        <v> </v>
      </c>
      <c r="M415" s="25" t="s">
        <v>12</v>
      </c>
      <c r="N415" s="1">
        <f t="shared" si="170"/>
        <v>0</v>
      </c>
      <c r="O415" s="1">
        <f t="shared" si="175"/>
        <v>0</v>
      </c>
      <c r="P415" s="1"/>
      <c r="Q415" s="1"/>
      <c r="R415" s="230" t="str">
        <f>LOOKUP(M24,squad!$B$18:$B$59,squad!$G$18:$G$59)</f>
        <v> </v>
      </c>
      <c r="S415" s="25" t="s">
        <v>12</v>
      </c>
      <c r="T415" s="1">
        <f t="shared" si="171"/>
        <v>0</v>
      </c>
      <c r="U415" s="1">
        <f t="shared" si="176"/>
        <v>0</v>
      </c>
      <c r="V415" s="1"/>
      <c r="W415" s="1"/>
      <c r="X415" s="230" t="str">
        <f>LOOKUP(S24,squad!$B$18:$B$59,squad!$G$18:$G$59)</f>
        <v> </v>
      </c>
      <c r="Y415" s="25" t="s">
        <v>12</v>
      </c>
      <c r="Z415" s="1">
        <f t="shared" si="172"/>
        <v>0</v>
      </c>
      <c r="AA415" s="1">
        <f t="shared" si="177"/>
        <v>0</v>
      </c>
      <c r="AB415" s="1"/>
      <c r="AC415" s="1"/>
      <c r="AD415" s="230" t="str">
        <f>LOOKUP(Y24,squad!$B$18:$B$59,squad!$G$18:$G$59)</f>
        <v> </v>
      </c>
    </row>
    <row r="416" spans="1:30" ht="12.75" hidden="1">
      <c r="A416" s="226" t="s">
        <v>13</v>
      </c>
      <c r="B416" s="218">
        <f t="shared" si="168"/>
        <v>0</v>
      </c>
      <c r="C416" s="218"/>
      <c r="D416" s="218"/>
      <c r="E416" s="218"/>
      <c r="F416" s="232" t="str">
        <f>LOOKUP(A25,squad!$B$18:$B$59,squad!$G$18:$G$59)</f>
        <v> </v>
      </c>
      <c r="G416" s="226" t="s">
        <v>13</v>
      </c>
      <c r="H416" s="218">
        <f t="shared" si="169"/>
        <v>0</v>
      </c>
      <c r="I416" s="218"/>
      <c r="J416" s="218"/>
      <c r="K416" s="218"/>
      <c r="L416" s="232" t="str">
        <f>LOOKUP(G25,squad!$B$18:$B$59,squad!$G$18:$G$59)</f>
        <v> </v>
      </c>
      <c r="M416" s="226" t="s">
        <v>13</v>
      </c>
      <c r="N416" s="218">
        <f t="shared" si="170"/>
        <v>0</v>
      </c>
      <c r="O416" s="218"/>
      <c r="P416" s="218"/>
      <c r="Q416" s="218"/>
      <c r="R416" s="232" t="str">
        <f>LOOKUP(M25,squad!$B$18:$B$59,squad!$G$18:$G$59)</f>
        <v> </v>
      </c>
      <c r="S416" s="226" t="s">
        <v>13</v>
      </c>
      <c r="T416" s="218">
        <f t="shared" si="171"/>
        <v>0</v>
      </c>
      <c r="U416" s="218"/>
      <c r="V416" s="218"/>
      <c r="W416" s="218"/>
      <c r="X416" s="232" t="str">
        <f>LOOKUP(S25,squad!$B$18:$B$59,squad!$G$18:$G$59)</f>
        <v> </v>
      </c>
      <c r="Y416" s="226" t="s">
        <v>13</v>
      </c>
      <c r="Z416" s="218">
        <f t="shared" si="172"/>
        <v>0</v>
      </c>
      <c r="AA416" s="218"/>
      <c r="AB416" s="218"/>
      <c r="AC416" s="218"/>
      <c r="AD416" s="232" t="str">
        <f>LOOKUP(Y25,squad!$B$18:$B$59,squad!$G$18:$G$59)</f>
        <v> </v>
      </c>
    </row>
    <row r="417" spans="1:30" ht="12.75" hidden="1">
      <c r="A417" s="25" t="s">
        <v>13</v>
      </c>
      <c r="B417" s="1">
        <f t="shared" si="168"/>
        <v>0</v>
      </c>
      <c r="C417" s="1"/>
      <c r="D417" s="1"/>
      <c r="E417" s="1"/>
      <c r="F417" s="230" t="str">
        <f>LOOKUP(A26,squad!$B$18:$B$59,squad!$G$18:$G$59)</f>
        <v> </v>
      </c>
      <c r="G417" s="25" t="s">
        <v>13</v>
      </c>
      <c r="H417" s="1">
        <f t="shared" si="169"/>
        <v>0</v>
      </c>
      <c r="I417" s="1"/>
      <c r="J417" s="1"/>
      <c r="K417" s="1"/>
      <c r="L417" s="230" t="str">
        <f>LOOKUP(G26,squad!$B$18:$B$59,squad!$G$18:$G$59)</f>
        <v> </v>
      </c>
      <c r="M417" s="25" t="s">
        <v>13</v>
      </c>
      <c r="N417" s="1">
        <f t="shared" si="170"/>
        <v>0</v>
      </c>
      <c r="O417" s="1"/>
      <c r="P417" s="1"/>
      <c r="Q417" s="1"/>
      <c r="R417" s="230" t="str">
        <f>LOOKUP(M26,squad!$B$18:$B$59,squad!$G$18:$G$59)</f>
        <v> </v>
      </c>
      <c r="S417" s="25" t="s">
        <v>13</v>
      </c>
      <c r="T417" s="1">
        <f t="shared" si="171"/>
        <v>0</v>
      </c>
      <c r="U417" s="1"/>
      <c r="V417" s="1"/>
      <c r="W417" s="1"/>
      <c r="X417" s="230" t="str">
        <f>LOOKUP(S26,squad!$B$18:$B$59,squad!$G$18:$G$59)</f>
        <v> </v>
      </c>
      <c r="Y417" s="25" t="s">
        <v>13</v>
      </c>
      <c r="Z417" s="1">
        <f t="shared" si="172"/>
        <v>0</v>
      </c>
      <c r="AA417" s="1"/>
      <c r="AB417" s="1"/>
      <c r="AC417" s="1"/>
      <c r="AD417" s="230" t="str">
        <f>LOOKUP(Y26,squad!$B$18:$B$59,squad!$G$18:$G$59)</f>
        <v> </v>
      </c>
    </row>
    <row r="418" spans="1:30" ht="12.75" hidden="1">
      <c r="A418" s="25" t="s">
        <v>13</v>
      </c>
      <c r="B418" s="1">
        <f t="shared" si="168"/>
        <v>0</v>
      </c>
      <c r="C418" s="1"/>
      <c r="D418" s="1"/>
      <c r="E418" s="1"/>
      <c r="F418" s="230" t="str">
        <f>LOOKUP(A27,squad!$B$18:$B$59,squad!$G$18:$G$59)</f>
        <v> </v>
      </c>
      <c r="G418" s="25" t="s">
        <v>13</v>
      </c>
      <c r="H418" s="1">
        <f t="shared" si="169"/>
        <v>0</v>
      </c>
      <c r="I418" s="1"/>
      <c r="J418" s="1"/>
      <c r="K418" s="1"/>
      <c r="L418" s="230" t="str">
        <f>LOOKUP(G27,squad!$B$18:$B$59,squad!$G$18:$G$59)</f>
        <v> </v>
      </c>
      <c r="M418" s="25" t="s">
        <v>13</v>
      </c>
      <c r="N418" s="1">
        <f t="shared" si="170"/>
        <v>0</v>
      </c>
      <c r="O418" s="1"/>
      <c r="P418" s="1"/>
      <c r="Q418" s="1"/>
      <c r="R418" s="230" t="str">
        <f>LOOKUP(M27,squad!$B$18:$B$59,squad!$G$18:$G$59)</f>
        <v> </v>
      </c>
      <c r="S418" s="25" t="s">
        <v>13</v>
      </c>
      <c r="T418" s="1">
        <f t="shared" si="171"/>
        <v>0</v>
      </c>
      <c r="U418" s="1"/>
      <c r="V418" s="1"/>
      <c r="W418" s="1"/>
      <c r="X418" s="230" t="str">
        <f>LOOKUP(S27,squad!$B$18:$B$59,squad!$G$18:$G$59)</f>
        <v> </v>
      </c>
      <c r="Y418" s="25" t="s">
        <v>13</v>
      </c>
      <c r="Z418" s="1">
        <f t="shared" si="172"/>
        <v>0</v>
      </c>
      <c r="AA418" s="1"/>
      <c r="AB418" s="1"/>
      <c r="AC418" s="1"/>
      <c r="AD418" s="230" t="str">
        <f>LOOKUP(Y27,squad!$B$18:$B$59,squad!$G$18:$G$59)</f>
        <v> </v>
      </c>
    </row>
    <row r="419" spans="1:30" ht="12.75" hidden="1">
      <c r="A419" s="25" t="s">
        <v>13</v>
      </c>
      <c r="B419" s="1">
        <f t="shared" si="168"/>
        <v>0</v>
      </c>
      <c r="C419" s="1"/>
      <c r="D419" s="1"/>
      <c r="E419" s="1"/>
      <c r="F419" s="230" t="str">
        <f>LOOKUP(A28,squad!$B$18:$B$59,squad!$G$18:$G$59)</f>
        <v> </v>
      </c>
      <c r="G419" s="25" t="s">
        <v>13</v>
      </c>
      <c r="H419" s="1">
        <f t="shared" si="169"/>
        <v>0</v>
      </c>
      <c r="I419" s="1"/>
      <c r="J419" s="1"/>
      <c r="K419" s="1"/>
      <c r="L419" s="230" t="str">
        <f>LOOKUP(G28,squad!$B$18:$B$59,squad!$G$18:$G$59)</f>
        <v> </v>
      </c>
      <c r="M419" s="25" t="s">
        <v>13</v>
      </c>
      <c r="N419" s="1">
        <f t="shared" si="170"/>
        <v>0</v>
      </c>
      <c r="O419" s="1"/>
      <c r="P419" s="1"/>
      <c r="Q419" s="1"/>
      <c r="R419" s="230" t="str">
        <f>LOOKUP(M28,squad!$B$18:$B$59,squad!$G$18:$G$59)</f>
        <v> </v>
      </c>
      <c r="S419" s="25" t="s">
        <v>13</v>
      </c>
      <c r="T419" s="1">
        <f t="shared" si="171"/>
        <v>0</v>
      </c>
      <c r="U419" s="1"/>
      <c r="V419" s="1"/>
      <c r="W419" s="1"/>
      <c r="X419" s="230" t="str">
        <f>LOOKUP(S28,squad!$B$18:$B$59,squad!$G$18:$G$59)</f>
        <v> </v>
      </c>
      <c r="Y419" s="25" t="s">
        <v>13</v>
      </c>
      <c r="Z419" s="1">
        <f t="shared" si="172"/>
        <v>0</v>
      </c>
      <c r="AA419" s="1"/>
      <c r="AB419" s="1"/>
      <c r="AC419" s="1"/>
      <c r="AD419" s="230" t="str">
        <f>LOOKUP(Y28,squad!$B$18:$B$59,squad!$G$18:$G$59)</f>
        <v> </v>
      </c>
    </row>
    <row r="420" spans="1:30" ht="12.75" hidden="1">
      <c r="A420" s="25" t="s">
        <v>13</v>
      </c>
      <c r="B420" s="1">
        <f t="shared" si="168"/>
        <v>0</v>
      </c>
      <c r="C420" s="1"/>
      <c r="D420" s="1"/>
      <c r="E420" s="1"/>
      <c r="F420" s="230" t="str">
        <f>LOOKUP(A29,squad!$B$18:$B$59,squad!$G$18:$G$59)</f>
        <v> </v>
      </c>
      <c r="G420" s="25" t="s">
        <v>13</v>
      </c>
      <c r="H420" s="1">
        <f t="shared" si="169"/>
        <v>0</v>
      </c>
      <c r="I420" s="1"/>
      <c r="J420" s="1"/>
      <c r="K420" s="1"/>
      <c r="L420" s="230" t="str">
        <f>LOOKUP(G29,squad!$B$18:$B$59,squad!$G$18:$G$59)</f>
        <v> </v>
      </c>
      <c r="M420" s="25" t="s">
        <v>13</v>
      </c>
      <c r="N420" s="1">
        <f t="shared" si="170"/>
        <v>0</v>
      </c>
      <c r="O420" s="1"/>
      <c r="P420" s="1"/>
      <c r="Q420" s="1"/>
      <c r="R420" s="230" t="str">
        <f>LOOKUP(M29,squad!$B$18:$B$59,squad!$G$18:$G$59)</f>
        <v> </v>
      </c>
      <c r="S420" s="25" t="s">
        <v>13</v>
      </c>
      <c r="T420" s="1">
        <f t="shared" si="171"/>
        <v>0</v>
      </c>
      <c r="U420" s="1"/>
      <c r="V420" s="1"/>
      <c r="W420" s="1"/>
      <c r="X420" s="230" t="str">
        <f>LOOKUP(S29,squad!$B$18:$B$59,squad!$G$18:$G$59)</f>
        <v> </v>
      </c>
      <c r="Y420" s="25" t="s">
        <v>13</v>
      </c>
      <c r="Z420" s="1">
        <f t="shared" si="172"/>
        <v>0</v>
      </c>
      <c r="AA420" s="1"/>
      <c r="AB420" s="1"/>
      <c r="AC420" s="1"/>
      <c r="AD420" s="230" t="str">
        <f>LOOKUP(Y29,squad!$B$18:$B$59,squad!$G$18:$G$59)</f>
        <v> </v>
      </c>
    </row>
    <row r="421" spans="1:30" ht="13.5" hidden="1" thickBot="1">
      <c r="A421" s="221" t="s">
        <v>13</v>
      </c>
      <c r="B421" s="26">
        <f t="shared" si="168"/>
        <v>0</v>
      </c>
      <c r="C421" s="26"/>
      <c r="D421" s="26"/>
      <c r="E421" s="26"/>
      <c r="F421" s="231" t="str">
        <f>LOOKUP(A30,squad!$B$18:$B$59,squad!$G$18:$G$59)</f>
        <v> </v>
      </c>
      <c r="G421" s="221" t="s">
        <v>13</v>
      </c>
      <c r="H421" s="26">
        <f t="shared" si="169"/>
        <v>0</v>
      </c>
      <c r="I421" s="26"/>
      <c r="J421" s="26"/>
      <c r="K421" s="26"/>
      <c r="L421" s="231" t="str">
        <f>LOOKUP(G30,squad!$B$18:$B$59,squad!$G$18:$G$59)</f>
        <v> </v>
      </c>
      <c r="M421" s="221" t="s">
        <v>13</v>
      </c>
      <c r="N421" s="26">
        <f t="shared" si="170"/>
        <v>0</v>
      </c>
      <c r="O421" s="26"/>
      <c r="P421" s="26"/>
      <c r="Q421" s="26"/>
      <c r="R421" s="231" t="str">
        <f>LOOKUP(M30,squad!$B$18:$B$59,squad!$G$18:$G$59)</f>
        <v> </v>
      </c>
      <c r="S421" s="221" t="s">
        <v>13</v>
      </c>
      <c r="T421" s="26">
        <f t="shared" si="171"/>
        <v>0</v>
      </c>
      <c r="U421" s="26"/>
      <c r="V421" s="26"/>
      <c r="W421" s="26"/>
      <c r="X421" s="231" t="str">
        <f>LOOKUP(S30,squad!$B$18:$B$59,squad!$G$18:$G$59)</f>
        <v> </v>
      </c>
      <c r="Y421" s="221" t="s">
        <v>13</v>
      </c>
      <c r="Z421" s="26">
        <f t="shared" si="172"/>
        <v>0</v>
      </c>
      <c r="AA421" s="26"/>
      <c r="AB421" s="26"/>
      <c r="AC421" s="26"/>
      <c r="AD421" s="231" t="str">
        <f>LOOKUP(Y30,squad!$B$18:$B$59,squad!$G$18:$G$59)</f>
        <v> </v>
      </c>
    </row>
    <row r="422" spans="1:30" ht="12.75" hidden="1">
      <c r="A422" s="25" t="s">
        <v>14</v>
      </c>
      <c r="B422" s="1">
        <f t="shared" si="168"/>
        <v>0</v>
      </c>
      <c r="C422" s="2">
        <f aca="true" t="shared" si="178" ref="C422:C427">IF(B422="LS",INT(F98/2),0)</f>
        <v>0</v>
      </c>
      <c r="D422" s="1">
        <f>-IF(AM87&gt;1,C422,0)</f>
        <v>0</v>
      </c>
      <c r="E422" s="1"/>
      <c r="F422" s="230" t="str">
        <f>LOOKUP(A31,squad!$B$18:$B$59,squad!$G$18:$G$59)</f>
        <v> </v>
      </c>
      <c r="G422" s="25" t="s">
        <v>14</v>
      </c>
      <c r="H422" s="1">
        <f t="shared" si="169"/>
        <v>0</v>
      </c>
      <c r="I422" s="2">
        <f aca="true" t="shared" si="179" ref="I422:I427">IF(H422="LS",INT(L98/2),0)</f>
        <v>0</v>
      </c>
      <c r="J422" s="1">
        <f>-IF(AS87&gt;1,I422,0)</f>
        <v>0</v>
      </c>
      <c r="K422" s="1"/>
      <c r="L422" s="230" t="str">
        <f>LOOKUP(G31,squad!$B$18:$B$59,squad!$G$18:$G$59)</f>
        <v> </v>
      </c>
      <c r="M422" s="25" t="s">
        <v>14</v>
      </c>
      <c r="N422" s="1">
        <f t="shared" si="170"/>
        <v>0</v>
      </c>
      <c r="O422" s="2">
        <f aca="true" t="shared" si="180" ref="O422:O427">IF(N422="LS",INT(R98/2),0)</f>
        <v>0</v>
      </c>
      <c r="P422" s="1">
        <f>-IF(AY87&gt;1,O422,0)</f>
        <v>0</v>
      </c>
      <c r="Q422" s="1"/>
      <c r="R422" s="230" t="str">
        <f>LOOKUP(M31,squad!$B$18:$B$59,squad!$G$18:$G$59)</f>
        <v> </v>
      </c>
      <c r="S422" s="25" t="s">
        <v>14</v>
      </c>
      <c r="T422" s="1">
        <f t="shared" si="171"/>
        <v>0</v>
      </c>
      <c r="U422" s="2">
        <f aca="true" t="shared" si="181" ref="U422:U427">IF(T422="LS",INT(X98/2),0)</f>
        <v>0</v>
      </c>
      <c r="V422" s="1">
        <f>-IF(BE87&gt;1,U422,0)</f>
        <v>0</v>
      </c>
      <c r="W422" s="1"/>
      <c r="X422" s="230" t="str">
        <f>LOOKUP(S31,squad!$B$18:$B$59,squad!$G$18:$G$59)</f>
        <v> </v>
      </c>
      <c r="Y422" s="25" t="s">
        <v>14</v>
      </c>
      <c r="Z422" s="1">
        <f t="shared" si="172"/>
        <v>0</v>
      </c>
      <c r="AA422" s="2">
        <f aca="true" t="shared" si="182" ref="AA422:AA427">IF(Z422="LS",INT(AD98/2),0)</f>
        <v>0</v>
      </c>
      <c r="AB422" s="1">
        <f>-IF(BK87&gt;1,AA422,0)</f>
        <v>0</v>
      </c>
      <c r="AC422" s="1"/>
      <c r="AD422" s="230" t="str">
        <f>LOOKUP(Y31,squad!$B$18:$B$59,squad!$G$18:$G$59)</f>
        <v> </v>
      </c>
    </row>
    <row r="423" spans="1:30" ht="12.75" hidden="1">
      <c r="A423" s="25" t="s">
        <v>14</v>
      </c>
      <c r="B423" s="1">
        <f t="shared" si="168"/>
        <v>0</v>
      </c>
      <c r="C423" s="2">
        <f t="shared" si="178"/>
        <v>0</v>
      </c>
      <c r="D423" s="1">
        <f>-IF(AM87&gt;1,C423,0)</f>
        <v>0</v>
      </c>
      <c r="E423" s="1"/>
      <c r="F423" s="230" t="str">
        <f>LOOKUP(A32,squad!$B$18:$B$59,squad!$G$18:$G$59)</f>
        <v> </v>
      </c>
      <c r="G423" s="25" t="s">
        <v>14</v>
      </c>
      <c r="H423" s="1">
        <f t="shared" si="169"/>
        <v>0</v>
      </c>
      <c r="I423" s="2">
        <f t="shared" si="179"/>
        <v>0</v>
      </c>
      <c r="J423" s="1">
        <f>-IF(AS87&gt;1,I423,0)</f>
        <v>0</v>
      </c>
      <c r="K423" s="1"/>
      <c r="L423" s="230" t="str">
        <f>LOOKUP(G32,squad!$B$18:$B$59,squad!$G$18:$G$59)</f>
        <v> </v>
      </c>
      <c r="M423" s="25" t="s">
        <v>14</v>
      </c>
      <c r="N423" s="1">
        <f t="shared" si="170"/>
        <v>0</v>
      </c>
      <c r="O423" s="2">
        <f t="shared" si="180"/>
        <v>0</v>
      </c>
      <c r="P423" s="1">
        <f>-IF(AY87&gt;1,O423,0)</f>
        <v>0</v>
      </c>
      <c r="Q423" s="1"/>
      <c r="R423" s="230" t="str">
        <f>LOOKUP(M32,squad!$B$18:$B$59,squad!$G$18:$G$59)</f>
        <v> </v>
      </c>
      <c r="S423" s="25" t="s">
        <v>14</v>
      </c>
      <c r="T423" s="1">
        <f t="shared" si="171"/>
        <v>0</v>
      </c>
      <c r="U423" s="2">
        <f t="shared" si="181"/>
        <v>0</v>
      </c>
      <c r="V423" s="1">
        <f>-IF(BE87&gt;1,U423,0)</f>
        <v>0</v>
      </c>
      <c r="W423" s="1"/>
      <c r="X423" s="230" t="str">
        <f>LOOKUP(S32,squad!$B$18:$B$59,squad!$G$18:$G$59)</f>
        <v> </v>
      </c>
      <c r="Y423" s="25" t="s">
        <v>14</v>
      </c>
      <c r="Z423" s="1">
        <f t="shared" si="172"/>
        <v>0</v>
      </c>
      <c r="AA423" s="2">
        <f t="shared" si="182"/>
        <v>0</v>
      </c>
      <c r="AB423" s="1">
        <f>-IF(BK87&gt;1,AA423,0)</f>
        <v>0</v>
      </c>
      <c r="AC423" s="1"/>
      <c r="AD423" s="230" t="str">
        <f>LOOKUP(Y32,squad!$B$18:$B$59,squad!$G$18:$G$59)</f>
        <v> </v>
      </c>
    </row>
    <row r="424" spans="1:30" ht="12.75" hidden="1">
      <c r="A424" s="25" t="s">
        <v>14</v>
      </c>
      <c r="B424" s="1">
        <f t="shared" si="168"/>
        <v>0</v>
      </c>
      <c r="C424" s="2">
        <f t="shared" si="178"/>
        <v>0</v>
      </c>
      <c r="D424" s="1">
        <f>-IF(AM87&gt;1,C424,0)</f>
        <v>0</v>
      </c>
      <c r="E424" s="1"/>
      <c r="F424" s="230" t="str">
        <f>LOOKUP(A33,squad!$B$18:$B$59,squad!$G$18:$G$59)</f>
        <v> </v>
      </c>
      <c r="G424" s="25" t="s">
        <v>14</v>
      </c>
      <c r="H424" s="1">
        <f t="shared" si="169"/>
        <v>0</v>
      </c>
      <c r="I424" s="2">
        <f t="shared" si="179"/>
        <v>0</v>
      </c>
      <c r="J424" s="1">
        <f>-IF(AS87&gt;1,I424,0)</f>
        <v>0</v>
      </c>
      <c r="K424" s="1"/>
      <c r="L424" s="230" t="str">
        <f>LOOKUP(G33,squad!$B$18:$B$59,squad!$G$18:$G$59)</f>
        <v> </v>
      </c>
      <c r="M424" s="25" t="s">
        <v>14</v>
      </c>
      <c r="N424" s="1">
        <f t="shared" si="170"/>
        <v>0</v>
      </c>
      <c r="O424" s="2">
        <f t="shared" si="180"/>
        <v>0</v>
      </c>
      <c r="P424" s="1">
        <f>-IF(AY87&gt;1,O424,0)</f>
        <v>0</v>
      </c>
      <c r="Q424" s="1"/>
      <c r="R424" s="230" t="str">
        <f>LOOKUP(M33,squad!$B$18:$B$59,squad!$G$18:$G$59)</f>
        <v> </v>
      </c>
      <c r="S424" s="25" t="s">
        <v>14</v>
      </c>
      <c r="T424" s="1">
        <f t="shared" si="171"/>
        <v>0</v>
      </c>
      <c r="U424" s="2">
        <f t="shared" si="181"/>
        <v>0</v>
      </c>
      <c r="V424" s="1">
        <f>-IF(BE87&gt;1,U424,0)</f>
        <v>0</v>
      </c>
      <c r="W424" s="1"/>
      <c r="X424" s="230" t="str">
        <f>LOOKUP(S33,squad!$B$18:$B$59,squad!$G$18:$G$59)</f>
        <v> </v>
      </c>
      <c r="Y424" s="25" t="s">
        <v>14</v>
      </c>
      <c r="Z424" s="1">
        <f t="shared" si="172"/>
        <v>0</v>
      </c>
      <c r="AA424" s="2">
        <f t="shared" si="182"/>
        <v>0</v>
      </c>
      <c r="AB424" s="1">
        <f>-IF(BK87&gt;1,AA424,0)</f>
        <v>0</v>
      </c>
      <c r="AC424" s="1"/>
      <c r="AD424" s="230" t="str">
        <f>LOOKUP(Y33,squad!$B$18:$B$59,squad!$G$18:$G$59)</f>
        <v> </v>
      </c>
    </row>
    <row r="425" spans="1:30" ht="12.75" hidden="1">
      <c r="A425" s="25" t="s">
        <v>14</v>
      </c>
      <c r="B425" s="1">
        <f t="shared" si="168"/>
        <v>0</v>
      </c>
      <c r="C425" s="2">
        <f t="shared" si="178"/>
        <v>0</v>
      </c>
      <c r="D425" s="1">
        <f>-IF(AM87&gt;1,C425,0)</f>
        <v>0</v>
      </c>
      <c r="E425" s="1"/>
      <c r="F425" s="230" t="str">
        <f>LOOKUP(A34,squad!$B$18:$B$59,squad!$G$18:$G$59)</f>
        <v> </v>
      </c>
      <c r="G425" s="25" t="s">
        <v>14</v>
      </c>
      <c r="H425" s="1">
        <f t="shared" si="169"/>
        <v>0</v>
      </c>
      <c r="I425" s="2">
        <f t="shared" si="179"/>
        <v>0</v>
      </c>
      <c r="J425" s="1">
        <f>-IF(AS87&gt;1,I425,0)</f>
        <v>0</v>
      </c>
      <c r="K425" s="1"/>
      <c r="L425" s="230" t="str">
        <f>LOOKUP(G34,squad!$B$18:$B$59,squad!$G$18:$G$59)</f>
        <v> </v>
      </c>
      <c r="M425" s="25" t="s">
        <v>14</v>
      </c>
      <c r="N425" s="1">
        <f t="shared" si="170"/>
        <v>0</v>
      </c>
      <c r="O425" s="2">
        <f t="shared" si="180"/>
        <v>0</v>
      </c>
      <c r="P425" s="1">
        <f>-IF(AY87&gt;1,O425,0)</f>
        <v>0</v>
      </c>
      <c r="Q425" s="1"/>
      <c r="R425" s="230" t="str">
        <f>LOOKUP(M34,squad!$B$18:$B$59,squad!$G$18:$G$59)</f>
        <v> </v>
      </c>
      <c r="S425" s="25" t="s">
        <v>14</v>
      </c>
      <c r="T425" s="1">
        <f t="shared" si="171"/>
        <v>0</v>
      </c>
      <c r="U425" s="2">
        <f t="shared" si="181"/>
        <v>0</v>
      </c>
      <c r="V425" s="1">
        <f>-IF(BE87&gt;1,U425,0)</f>
        <v>0</v>
      </c>
      <c r="W425" s="1"/>
      <c r="X425" s="230" t="str">
        <f>LOOKUP(S34,squad!$B$18:$B$59,squad!$G$18:$G$59)</f>
        <v> </v>
      </c>
      <c r="Y425" s="25" t="s">
        <v>14</v>
      </c>
      <c r="Z425" s="1">
        <f t="shared" si="172"/>
        <v>0</v>
      </c>
      <c r="AA425" s="2">
        <f t="shared" si="182"/>
        <v>0</v>
      </c>
      <c r="AB425" s="1">
        <f>-IF(BK87&gt;1,AA425,0)</f>
        <v>0</v>
      </c>
      <c r="AC425" s="1"/>
      <c r="AD425" s="230" t="str">
        <f>LOOKUP(Y34,squad!$B$18:$B$59,squad!$G$18:$G$59)</f>
        <v> </v>
      </c>
    </row>
    <row r="426" spans="1:30" ht="12.75" hidden="1">
      <c r="A426" s="25" t="s">
        <v>14</v>
      </c>
      <c r="B426" s="1">
        <f t="shared" si="168"/>
        <v>0</v>
      </c>
      <c r="C426" s="2">
        <f t="shared" si="178"/>
        <v>0</v>
      </c>
      <c r="D426" s="1">
        <f>-IF(AM87&gt;1,C426,0)</f>
        <v>0</v>
      </c>
      <c r="E426" s="1"/>
      <c r="F426" s="230" t="str">
        <f>LOOKUP(A35,squad!$B$18:$B$59,squad!$G$18:$G$59)</f>
        <v> </v>
      </c>
      <c r="G426" s="25" t="s">
        <v>14</v>
      </c>
      <c r="H426" s="1">
        <f t="shared" si="169"/>
        <v>0</v>
      </c>
      <c r="I426" s="2">
        <f t="shared" si="179"/>
        <v>0</v>
      </c>
      <c r="J426" s="1">
        <f>-IF(AS87&gt;1,I426,0)</f>
        <v>0</v>
      </c>
      <c r="K426" s="1"/>
      <c r="L426" s="230" t="str">
        <f>LOOKUP(G35,squad!$B$18:$B$59,squad!$G$18:$G$59)</f>
        <v> </v>
      </c>
      <c r="M426" s="25" t="s">
        <v>14</v>
      </c>
      <c r="N426" s="1">
        <f t="shared" si="170"/>
        <v>0</v>
      </c>
      <c r="O426" s="2">
        <f t="shared" si="180"/>
        <v>0</v>
      </c>
      <c r="P426" s="1">
        <f>-IF(AY87&gt;1,O426,0)</f>
        <v>0</v>
      </c>
      <c r="Q426" s="1"/>
      <c r="R426" s="230" t="str">
        <f>LOOKUP(M35,squad!$B$18:$B$59,squad!$G$18:$G$59)</f>
        <v> </v>
      </c>
      <c r="S426" s="25" t="s">
        <v>14</v>
      </c>
      <c r="T426" s="1">
        <f t="shared" si="171"/>
        <v>0</v>
      </c>
      <c r="U426" s="2">
        <f t="shared" si="181"/>
        <v>0</v>
      </c>
      <c r="V426" s="1">
        <f>-IF(BE87&gt;1,U426,0)</f>
        <v>0</v>
      </c>
      <c r="W426" s="1"/>
      <c r="X426" s="230" t="str">
        <f>LOOKUP(S35,squad!$B$18:$B$59,squad!$G$18:$G$59)</f>
        <v> </v>
      </c>
      <c r="Y426" s="25" t="s">
        <v>14</v>
      </c>
      <c r="Z426" s="1">
        <f t="shared" si="172"/>
        <v>0</v>
      </c>
      <c r="AA426" s="2">
        <f t="shared" si="182"/>
        <v>0</v>
      </c>
      <c r="AB426" s="1">
        <f>-IF(BK87&gt;1,AA426,0)</f>
        <v>0</v>
      </c>
      <c r="AC426" s="1"/>
      <c r="AD426" s="230" t="str">
        <f>LOOKUP(Y35,squad!$B$18:$B$59,squad!$G$18:$G$59)</f>
        <v> </v>
      </c>
    </row>
    <row r="427" spans="1:30" ht="13.5" hidden="1" thickBot="1">
      <c r="A427" s="221" t="s">
        <v>14</v>
      </c>
      <c r="B427" s="26">
        <f t="shared" si="168"/>
        <v>0</v>
      </c>
      <c r="C427" s="190">
        <f t="shared" si="178"/>
        <v>0</v>
      </c>
      <c r="D427" s="26">
        <f>-IF(AM87&gt;1,C427,0)</f>
        <v>0</v>
      </c>
      <c r="E427" s="26"/>
      <c r="F427" s="231" t="str">
        <f>LOOKUP(A36,squad!$B$18:$B$59,squad!$G$18:$G$59)</f>
        <v> </v>
      </c>
      <c r="G427" s="221" t="s">
        <v>14</v>
      </c>
      <c r="H427" s="26">
        <f t="shared" si="169"/>
        <v>0</v>
      </c>
      <c r="I427" s="190">
        <f t="shared" si="179"/>
        <v>0</v>
      </c>
      <c r="J427" s="26">
        <f>-IF(AS87&gt;1,I427,0)</f>
        <v>0</v>
      </c>
      <c r="K427" s="26"/>
      <c r="L427" s="231" t="str">
        <f>LOOKUP(G36,squad!$B$18:$B$59,squad!$G$18:$G$59)</f>
        <v> </v>
      </c>
      <c r="M427" s="221" t="s">
        <v>14</v>
      </c>
      <c r="N427" s="26">
        <f t="shared" si="170"/>
        <v>0</v>
      </c>
      <c r="O427" s="190">
        <f t="shared" si="180"/>
        <v>0</v>
      </c>
      <c r="P427" s="26">
        <f>-IF(AY87&gt;1,O427,0)</f>
        <v>0</v>
      </c>
      <c r="Q427" s="26"/>
      <c r="R427" s="231" t="str">
        <f>LOOKUP(M36,squad!$B$18:$B$59,squad!$G$18:$G$59)</f>
        <v> </v>
      </c>
      <c r="S427" s="221" t="s">
        <v>14</v>
      </c>
      <c r="T427" s="26">
        <f t="shared" si="171"/>
        <v>0</v>
      </c>
      <c r="U427" s="190">
        <f t="shared" si="181"/>
        <v>0</v>
      </c>
      <c r="V427" s="26">
        <f>-IF(BE87&gt;1,U427,0)</f>
        <v>0</v>
      </c>
      <c r="W427" s="26"/>
      <c r="X427" s="231" t="str">
        <f>LOOKUP(S36,squad!$B$18:$B$59,squad!$G$18:$G$59)</f>
        <v> </v>
      </c>
      <c r="Y427" s="221" t="s">
        <v>14</v>
      </c>
      <c r="Z427" s="26">
        <f t="shared" si="172"/>
        <v>0</v>
      </c>
      <c r="AA427" s="190">
        <f t="shared" si="182"/>
        <v>0</v>
      </c>
      <c r="AB427" s="26">
        <f>-IF(BK87&gt;1,AA427,0)</f>
        <v>0</v>
      </c>
      <c r="AC427" s="26"/>
      <c r="AD427" s="231" t="str">
        <f>LOOKUP(Y36,squad!$B$18:$B$59,squad!$G$18:$G$59)</f>
        <v> </v>
      </c>
    </row>
    <row r="428" spans="1:30" ht="12.75" hidden="1">
      <c r="A428" s="233" t="s">
        <v>297</v>
      </c>
      <c r="B428" s="234"/>
      <c r="C428" s="234"/>
      <c r="D428" s="234"/>
      <c r="E428" s="234"/>
      <c r="F428" s="235"/>
      <c r="G428" s="233" t="s">
        <v>297</v>
      </c>
      <c r="H428" s="234"/>
      <c r="I428" s="234"/>
      <c r="J428" s="234"/>
      <c r="K428" s="234"/>
      <c r="L428" s="235"/>
      <c r="M428" s="233" t="s">
        <v>297</v>
      </c>
      <c r="N428" s="234"/>
      <c r="O428" s="234"/>
      <c r="P428" s="234"/>
      <c r="Q428" s="234"/>
      <c r="R428" s="235"/>
      <c r="S428" s="233" t="s">
        <v>297</v>
      </c>
      <c r="T428" s="234"/>
      <c r="U428" s="234"/>
      <c r="V428" s="234"/>
      <c r="W428" s="234"/>
      <c r="X428" s="235"/>
      <c r="Y428" s="233" t="s">
        <v>297</v>
      </c>
      <c r="Z428" s="234"/>
      <c r="AA428" s="234"/>
      <c r="AB428" s="234"/>
      <c r="AC428" s="234"/>
      <c r="AD428" s="235"/>
    </row>
    <row r="429" spans="1:30" ht="12.75" hidden="1">
      <c r="A429" s="236"/>
      <c r="B429" s="237" t="s">
        <v>10</v>
      </c>
      <c r="C429" s="237" t="s">
        <v>11</v>
      </c>
      <c r="D429" s="237" t="s">
        <v>12</v>
      </c>
      <c r="E429" s="237" t="s">
        <v>13</v>
      </c>
      <c r="F429" s="238" t="s">
        <v>14</v>
      </c>
      <c r="G429" s="236"/>
      <c r="H429" s="237" t="s">
        <v>10</v>
      </c>
      <c r="I429" s="237" t="s">
        <v>11</v>
      </c>
      <c r="J429" s="237" t="s">
        <v>12</v>
      </c>
      <c r="K429" s="237" t="s">
        <v>13</v>
      </c>
      <c r="L429" s="238" t="s">
        <v>14</v>
      </c>
      <c r="M429" s="236"/>
      <c r="N429" s="237" t="s">
        <v>10</v>
      </c>
      <c r="O429" s="237" t="s">
        <v>11</v>
      </c>
      <c r="P429" s="237" t="s">
        <v>12</v>
      </c>
      <c r="Q429" s="237" t="s">
        <v>13</v>
      </c>
      <c r="R429" s="238" t="s">
        <v>14</v>
      </c>
      <c r="S429" s="236"/>
      <c r="T429" s="237" t="s">
        <v>10</v>
      </c>
      <c r="U429" s="237" t="s">
        <v>11</v>
      </c>
      <c r="V429" s="237" t="s">
        <v>12</v>
      </c>
      <c r="W429" s="237" t="s">
        <v>13</v>
      </c>
      <c r="X429" s="238" t="s">
        <v>14</v>
      </c>
      <c r="Y429" s="236"/>
      <c r="Z429" s="237" t="s">
        <v>10</v>
      </c>
      <c r="AA429" s="237" t="s">
        <v>11</v>
      </c>
      <c r="AB429" s="237" t="s">
        <v>12</v>
      </c>
      <c r="AC429" s="237" t="s">
        <v>13</v>
      </c>
      <c r="AD429" s="238" t="s">
        <v>14</v>
      </c>
    </row>
    <row r="430" spans="1:30" ht="13.5" hidden="1" thickBot="1">
      <c r="A430" s="239"/>
      <c r="B430" s="240">
        <v>0</v>
      </c>
      <c r="C430" s="240">
        <f>SUM(C256:D261)+B233</f>
        <v>0</v>
      </c>
      <c r="D430" s="240">
        <f>SUM(B234:B239)+SUM(C328:C333)+SUM(C372:C377)</f>
        <v>0</v>
      </c>
      <c r="E430" s="240">
        <f>SUM(B240:C245)+SUM(C278:C283)</f>
        <v>0</v>
      </c>
      <c r="F430" s="241">
        <f>SUM(B246:C251)+SUM(C306:C311)+SUM(C328:C333)+SUM(C356:D361)+SUM(C394:C399)+SUM(C410:C415)</f>
        <v>0</v>
      </c>
      <c r="G430" s="239"/>
      <c r="H430" s="240">
        <v>0</v>
      </c>
      <c r="I430" s="240">
        <f>SUM(I256:J261)+H233</f>
        <v>0</v>
      </c>
      <c r="J430" s="240">
        <f>SUM(H234:H239)+SUM(I328:I333)+SUM(I372:I377)</f>
        <v>0</v>
      </c>
      <c r="K430" s="240">
        <f>SUM(H240:I245)+SUM(I278:I283)</f>
        <v>0</v>
      </c>
      <c r="L430" s="241">
        <f>SUM(H246:I251)+SUM(I306:I311)+SUM(I328:I333)+SUM(I356:J361)+SUM(I394:I399)+SUM(I410:I415)</f>
        <v>0</v>
      </c>
      <c r="M430" s="239"/>
      <c r="N430" s="240">
        <v>0</v>
      </c>
      <c r="O430" s="240">
        <f>SUM(O256:P261)+N233</f>
        <v>0</v>
      </c>
      <c r="P430" s="240">
        <f>SUM(N234:N239)+SUM(O328:O333)+SUM(O372:O377)</f>
        <v>0</v>
      </c>
      <c r="Q430" s="240">
        <f>SUM(N240:O245)+SUM(O278:O283)</f>
        <v>0</v>
      </c>
      <c r="R430" s="241">
        <f>SUM(N246:O251)+SUM(O306:O311)+SUM(O328:O333)+SUM(O356:P361)+SUM(O394:O399)+SUM(O410:O415)</f>
        <v>0</v>
      </c>
      <c r="S430" s="239"/>
      <c r="T430" s="240">
        <v>0</v>
      </c>
      <c r="U430" s="240">
        <f>SUM(U256:V261)+T233</f>
        <v>0</v>
      </c>
      <c r="V430" s="240">
        <f>SUM(T234:T239)+SUM(U328:U333)+SUM(U372:U377)</f>
        <v>0</v>
      </c>
      <c r="W430" s="240">
        <f>SUM(T240:U245)+SUM(U278:U283)</f>
        <v>0</v>
      </c>
      <c r="X430" s="241">
        <f>SUM(T246:U251)+SUM(U306:U311)+SUM(U328:U333)+SUM(U356:V361)+SUM(U394:U399)+SUM(U410:U415)</f>
        <v>0</v>
      </c>
      <c r="Y430" s="239"/>
      <c r="Z430" s="240">
        <v>0</v>
      </c>
      <c r="AA430" s="240">
        <f>SUM(AA256:AB261)+Z233</f>
        <v>0</v>
      </c>
      <c r="AB430" s="240">
        <f>SUM(Z234:Z239)+SUM(AA328:AA333)+SUM(AA372:AA377)</f>
        <v>0</v>
      </c>
      <c r="AC430" s="240">
        <f>SUM(Z240:AA245)+SUM(AA278:AA283)</f>
        <v>0</v>
      </c>
      <c r="AD430" s="241">
        <f>SUM(Z246:AA251)+SUM(AA306:AA311)+SUM(AA328:AA333)+SUM(AA356:AB361)+SUM(AA394:AA399)+SUM(AA410:AA415)</f>
        <v>0</v>
      </c>
    </row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</sheetData>
  <sheetProtection password="D521" sheet="1" objects="1" scenarios="1"/>
  <mergeCells count="460">
    <mergeCell ref="A80:F80"/>
    <mergeCell ref="G80:L80"/>
    <mergeCell ref="M80:R80"/>
    <mergeCell ref="S80:X80"/>
    <mergeCell ref="Y80:AD80"/>
    <mergeCell ref="A105:C105"/>
    <mergeCell ref="A106:C106"/>
    <mergeCell ref="A116:AD119"/>
    <mergeCell ref="L97:AD97"/>
    <mergeCell ref="L98:AD98"/>
    <mergeCell ref="L99:AD99"/>
    <mergeCell ref="W104:AD104"/>
    <mergeCell ref="W105:AD105"/>
    <mergeCell ref="W100:AD100"/>
    <mergeCell ref="A120:AD123"/>
    <mergeCell ref="A112:AD115"/>
    <mergeCell ref="A108:AD111"/>
    <mergeCell ref="D106:G106"/>
    <mergeCell ref="A107:AD107"/>
    <mergeCell ref="W106:AD106"/>
    <mergeCell ref="L106:M106"/>
    <mergeCell ref="H106:I106"/>
    <mergeCell ref="J106:K106"/>
    <mergeCell ref="N106:S106"/>
    <mergeCell ref="W101:AD101"/>
    <mergeCell ref="W102:AD102"/>
    <mergeCell ref="T100:V100"/>
    <mergeCell ref="W103:AD103"/>
    <mergeCell ref="T101:V101"/>
    <mergeCell ref="T102:V102"/>
    <mergeCell ref="T103:V103"/>
    <mergeCell ref="T104:V104"/>
    <mergeCell ref="T105:V105"/>
    <mergeCell ref="T106:V106"/>
    <mergeCell ref="N104:S104"/>
    <mergeCell ref="N105:S105"/>
    <mergeCell ref="N100:S100"/>
    <mergeCell ref="N101:S101"/>
    <mergeCell ref="N102:S102"/>
    <mergeCell ref="N103:S103"/>
    <mergeCell ref="L102:M102"/>
    <mergeCell ref="L103:M103"/>
    <mergeCell ref="L104:M104"/>
    <mergeCell ref="L105:M105"/>
    <mergeCell ref="J102:K102"/>
    <mergeCell ref="J103:K103"/>
    <mergeCell ref="J104:K104"/>
    <mergeCell ref="J105:K105"/>
    <mergeCell ref="H102:I102"/>
    <mergeCell ref="H103:I103"/>
    <mergeCell ref="H104:I104"/>
    <mergeCell ref="H105:I105"/>
    <mergeCell ref="H100:I100"/>
    <mergeCell ref="J100:K100"/>
    <mergeCell ref="L100:M100"/>
    <mergeCell ref="D101:G101"/>
    <mergeCell ref="H101:I101"/>
    <mergeCell ref="J101:K101"/>
    <mergeCell ref="L101:M101"/>
    <mergeCell ref="D100:G100"/>
    <mergeCell ref="A100:C100"/>
    <mergeCell ref="A101:C101"/>
    <mergeCell ref="A102:C102"/>
    <mergeCell ref="A103:C103"/>
    <mergeCell ref="D102:G102"/>
    <mergeCell ref="D103:G103"/>
    <mergeCell ref="D104:G104"/>
    <mergeCell ref="D105:G105"/>
    <mergeCell ref="A104:C104"/>
    <mergeCell ref="G98:K98"/>
    <mergeCell ref="G99:K99"/>
    <mergeCell ref="L88:AD89"/>
    <mergeCell ref="L90:AD90"/>
    <mergeCell ref="L91:AD91"/>
    <mergeCell ref="L92:AD92"/>
    <mergeCell ref="L93:AD93"/>
    <mergeCell ref="L94:AD94"/>
    <mergeCell ref="L95:AD95"/>
    <mergeCell ref="L96:AD96"/>
    <mergeCell ref="D99:F99"/>
    <mergeCell ref="G88:K89"/>
    <mergeCell ref="G90:K90"/>
    <mergeCell ref="G91:K91"/>
    <mergeCell ref="G92:K92"/>
    <mergeCell ref="G93:K93"/>
    <mergeCell ref="G94:K94"/>
    <mergeCell ref="G95:K95"/>
    <mergeCell ref="G96:K96"/>
    <mergeCell ref="G97:K97"/>
    <mergeCell ref="A97:C97"/>
    <mergeCell ref="A98:C98"/>
    <mergeCell ref="A99:C99"/>
    <mergeCell ref="D96:F96"/>
    <mergeCell ref="D97:F97"/>
    <mergeCell ref="D98:F98"/>
    <mergeCell ref="A93:C93"/>
    <mergeCell ref="A94:C94"/>
    <mergeCell ref="A95:C95"/>
    <mergeCell ref="A96:C96"/>
    <mergeCell ref="D93:F93"/>
    <mergeCell ref="D94:F94"/>
    <mergeCell ref="D95:F95"/>
    <mergeCell ref="A91:C91"/>
    <mergeCell ref="D90:F90"/>
    <mergeCell ref="D91:F91"/>
    <mergeCell ref="A92:C92"/>
    <mergeCell ref="D92:F92"/>
    <mergeCell ref="M68:R68"/>
    <mergeCell ref="A88:F88"/>
    <mergeCell ref="D89:F89"/>
    <mergeCell ref="A90:C90"/>
    <mergeCell ref="A84:F85"/>
    <mergeCell ref="A86:C87"/>
    <mergeCell ref="D86:F87"/>
    <mergeCell ref="G84:AD85"/>
    <mergeCell ref="G86:P87"/>
    <mergeCell ref="Q86:S87"/>
    <mergeCell ref="T86:AD87"/>
    <mergeCell ref="AG13:AK13"/>
    <mergeCell ref="AA20:AC20"/>
    <mergeCell ref="AA21:AC21"/>
    <mergeCell ref="AA22:AC22"/>
    <mergeCell ref="AA26:AC26"/>
    <mergeCell ref="U20:W20"/>
    <mergeCell ref="U21:W21"/>
    <mergeCell ref="U22:W22"/>
    <mergeCell ref="U23:W23"/>
    <mergeCell ref="U25:W25"/>
    <mergeCell ref="U24:W24"/>
    <mergeCell ref="M64:R64"/>
    <mergeCell ref="M65:R65"/>
    <mergeCell ref="U36:W36"/>
    <mergeCell ref="S64:X64"/>
    <mergeCell ref="S65:X65"/>
    <mergeCell ref="M66:R66"/>
    <mergeCell ref="M67:R67"/>
    <mergeCell ref="O32:Q32"/>
    <mergeCell ref="O33:Q33"/>
    <mergeCell ref="O34:Q34"/>
    <mergeCell ref="I27:K27"/>
    <mergeCell ref="I28:K28"/>
    <mergeCell ref="I33:K33"/>
    <mergeCell ref="I32:K32"/>
    <mergeCell ref="I31:K31"/>
    <mergeCell ref="I20:K20"/>
    <mergeCell ref="I21:K21"/>
    <mergeCell ref="I22:K22"/>
    <mergeCell ref="I26:K26"/>
    <mergeCell ref="C1:M1"/>
    <mergeCell ref="A1:B1"/>
    <mergeCell ref="A2:B3"/>
    <mergeCell ref="C2:M3"/>
    <mergeCell ref="Z6:AA6"/>
    <mergeCell ref="N1:W1"/>
    <mergeCell ref="AB1:AD1"/>
    <mergeCell ref="AB2:AD3"/>
    <mergeCell ref="X1:AA1"/>
    <mergeCell ref="X2:AA3"/>
    <mergeCell ref="AB6:AD6"/>
    <mergeCell ref="C6:H6"/>
    <mergeCell ref="C7:H7"/>
    <mergeCell ref="K6:L6"/>
    <mergeCell ref="K7:L7"/>
    <mergeCell ref="C10:H10"/>
    <mergeCell ref="N2:W3"/>
    <mergeCell ref="I5:J5"/>
    <mergeCell ref="I6:J6"/>
    <mergeCell ref="I7:J7"/>
    <mergeCell ref="I10:J10"/>
    <mergeCell ref="K5:L5"/>
    <mergeCell ref="K10:L10"/>
    <mergeCell ref="A4:AD4"/>
    <mergeCell ref="C5:H5"/>
    <mergeCell ref="Z7:AA7"/>
    <mergeCell ref="Z10:AA10"/>
    <mergeCell ref="M5:O5"/>
    <mergeCell ref="M6:O6"/>
    <mergeCell ref="M7:O7"/>
    <mergeCell ref="M10:O10"/>
    <mergeCell ref="M9:O9"/>
    <mergeCell ref="R5:W5"/>
    <mergeCell ref="R6:W6"/>
    <mergeCell ref="R7:W7"/>
    <mergeCell ref="R10:W10"/>
    <mergeCell ref="X5:Y5"/>
    <mergeCell ref="X6:Y6"/>
    <mergeCell ref="X7:Y7"/>
    <mergeCell ref="X10:Y10"/>
    <mergeCell ref="AB7:AD7"/>
    <mergeCell ref="AB10:AD10"/>
    <mergeCell ref="C16:E16"/>
    <mergeCell ref="S11:V11"/>
    <mergeCell ref="W11:X11"/>
    <mergeCell ref="S12:X12"/>
    <mergeCell ref="S13:X15"/>
    <mergeCell ref="Q11:R11"/>
    <mergeCell ref="M11:P11"/>
    <mergeCell ref="U16:W16"/>
    <mergeCell ref="C17:E17"/>
    <mergeCell ref="C18:E18"/>
    <mergeCell ref="C19:E19"/>
    <mergeCell ref="C23:E23"/>
    <mergeCell ref="C20:E20"/>
    <mergeCell ref="C21:E21"/>
    <mergeCell ref="C22:E22"/>
    <mergeCell ref="C24:E24"/>
    <mergeCell ref="C25:E25"/>
    <mergeCell ref="C29:E29"/>
    <mergeCell ref="C30:E30"/>
    <mergeCell ref="C26:E26"/>
    <mergeCell ref="C27:E27"/>
    <mergeCell ref="C28:E28"/>
    <mergeCell ref="C31:E31"/>
    <mergeCell ref="C35:E35"/>
    <mergeCell ref="C36:E36"/>
    <mergeCell ref="C37:E37"/>
    <mergeCell ref="C32:E32"/>
    <mergeCell ref="C33:E33"/>
    <mergeCell ref="C34:E34"/>
    <mergeCell ref="C38:E38"/>
    <mergeCell ref="I16:K16"/>
    <mergeCell ref="I17:K17"/>
    <mergeCell ref="I18:K18"/>
    <mergeCell ref="I19:K19"/>
    <mergeCell ref="I23:K23"/>
    <mergeCell ref="I24:K24"/>
    <mergeCell ref="I25:K25"/>
    <mergeCell ref="I29:K29"/>
    <mergeCell ref="I30:K30"/>
    <mergeCell ref="I35:K35"/>
    <mergeCell ref="I36:K36"/>
    <mergeCell ref="O35:Q35"/>
    <mergeCell ref="O36:Q36"/>
    <mergeCell ref="I34:K34"/>
    <mergeCell ref="O17:Q17"/>
    <mergeCell ref="O16:Q16"/>
    <mergeCell ref="O18:Q18"/>
    <mergeCell ref="O19:Q19"/>
    <mergeCell ref="O31:Q31"/>
    <mergeCell ref="O23:Q23"/>
    <mergeCell ref="O24:Q24"/>
    <mergeCell ref="O25:Q25"/>
    <mergeCell ref="O29:Q29"/>
    <mergeCell ref="I38:K38"/>
    <mergeCell ref="I37:K37"/>
    <mergeCell ref="O37:Q37"/>
    <mergeCell ref="O38:Q38"/>
    <mergeCell ref="U17:W17"/>
    <mergeCell ref="U18:W18"/>
    <mergeCell ref="U19:W19"/>
    <mergeCell ref="O27:Q27"/>
    <mergeCell ref="U27:W27"/>
    <mergeCell ref="O20:Q20"/>
    <mergeCell ref="O22:Q22"/>
    <mergeCell ref="O21:Q21"/>
    <mergeCell ref="O26:Q26"/>
    <mergeCell ref="U26:W26"/>
    <mergeCell ref="AA29:AC29"/>
    <mergeCell ref="U30:W30"/>
    <mergeCell ref="U31:W31"/>
    <mergeCell ref="O28:Q28"/>
    <mergeCell ref="U28:W28"/>
    <mergeCell ref="O30:Q30"/>
    <mergeCell ref="AA27:AC27"/>
    <mergeCell ref="AA28:AC28"/>
    <mergeCell ref="U35:W35"/>
    <mergeCell ref="U29:W29"/>
    <mergeCell ref="U34:W34"/>
    <mergeCell ref="AA34:AC34"/>
    <mergeCell ref="U32:W32"/>
    <mergeCell ref="U33:W33"/>
    <mergeCell ref="AA32:AC32"/>
    <mergeCell ref="AA33:AC33"/>
    <mergeCell ref="AA36:AC36"/>
    <mergeCell ref="U37:W37"/>
    <mergeCell ref="U38:W38"/>
    <mergeCell ref="AA16:AC16"/>
    <mergeCell ref="AA18:AC18"/>
    <mergeCell ref="AA17:AC17"/>
    <mergeCell ref="AA19:AC19"/>
    <mergeCell ref="AA23:AC23"/>
    <mergeCell ref="AA25:AC25"/>
    <mergeCell ref="AA24:AC24"/>
    <mergeCell ref="AA37:AC37"/>
    <mergeCell ref="AA38:AC38"/>
    <mergeCell ref="Z5:AA5"/>
    <mergeCell ref="AB5:AD5"/>
    <mergeCell ref="AC11:AD11"/>
    <mergeCell ref="Y12:AD12"/>
    <mergeCell ref="Y13:AD15"/>
    <mergeCell ref="AA30:AC30"/>
    <mergeCell ref="AA31:AC31"/>
    <mergeCell ref="AA35:AC35"/>
    <mergeCell ref="M12:R12"/>
    <mergeCell ref="M13:R15"/>
    <mergeCell ref="K11:L11"/>
    <mergeCell ref="G11:J11"/>
    <mergeCell ref="G12:L12"/>
    <mergeCell ref="G13:L15"/>
    <mergeCell ref="A11:D11"/>
    <mergeCell ref="E11:F11"/>
    <mergeCell ref="A12:F12"/>
    <mergeCell ref="A13:F15"/>
    <mergeCell ref="Y128:AD129"/>
    <mergeCell ref="G124:X124"/>
    <mergeCell ref="G125:X125"/>
    <mergeCell ref="G126:X126"/>
    <mergeCell ref="Y11:AB11"/>
    <mergeCell ref="G127:X127"/>
    <mergeCell ref="G128:X128"/>
    <mergeCell ref="G129:X129"/>
    <mergeCell ref="Y125:Z127"/>
    <mergeCell ref="AA125:AD127"/>
    <mergeCell ref="Y124:AD124"/>
    <mergeCell ref="Y56:AD56"/>
    <mergeCell ref="A55:AD55"/>
    <mergeCell ref="A54:AD54"/>
    <mergeCell ref="A56:F56"/>
    <mergeCell ref="G56:L56"/>
    <mergeCell ref="M56:R56"/>
    <mergeCell ref="S56:X56"/>
    <mergeCell ref="A82:F82"/>
    <mergeCell ref="G82:L82"/>
    <mergeCell ref="M82:R82"/>
    <mergeCell ref="S82:X82"/>
    <mergeCell ref="Y82:AD82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5:F75"/>
    <mergeCell ref="A76:F76"/>
    <mergeCell ref="A77:F77"/>
    <mergeCell ref="A78:F78"/>
    <mergeCell ref="A79:F79"/>
    <mergeCell ref="A81:F81"/>
    <mergeCell ref="G57:L57"/>
    <mergeCell ref="G58:L58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5:L75"/>
    <mergeCell ref="G76:L76"/>
    <mergeCell ref="G77:L77"/>
    <mergeCell ref="G78:L78"/>
    <mergeCell ref="G79:L79"/>
    <mergeCell ref="G81:L81"/>
    <mergeCell ref="M57:R57"/>
    <mergeCell ref="M58:R58"/>
    <mergeCell ref="M59:R59"/>
    <mergeCell ref="M60:R60"/>
    <mergeCell ref="M61:R61"/>
    <mergeCell ref="M62:R62"/>
    <mergeCell ref="M63:R63"/>
    <mergeCell ref="M69:R69"/>
    <mergeCell ref="M70:R70"/>
    <mergeCell ref="M71:R71"/>
    <mergeCell ref="M72:R72"/>
    <mergeCell ref="M73:R73"/>
    <mergeCell ref="M75:R75"/>
    <mergeCell ref="M76:R76"/>
    <mergeCell ref="M77:R77"/>
    <mergeCell ref="M78:R78"/>
    <mergeCell ref="M79:R79"/>
    <mergeCell ref="M81:R81"/>
    <mergeCell ref="S57:X57"/>
    <mergeCell ref="S58:X58"/>
    <mergeCell ref="S59:X59"/>
    <mergeCell ref="S60:X60"/>
    <mergeCell ref="S61:X61"/>
    <mergeCell ref="S62:X62"/>
    <mergeCell ref="S63:X63"/>
    <mergeCell ref="S66:X66"/>
    <mergeCell ref="S67:X67"/>
    <mergeCell ref="S68:X68"/>
    <mergeCell ref="S70:X70"/>
    <mergeCell ref="S71:X71"/>
    <mergeCell ref="S72:X72"/>
    <mergeCell ref="S69:X69"/>
    <mergeCell ref="S73:X73"/>
    <mergeCell ref="S75:X75"/>
    <mergeCell ref="S76:X76"/>
    <mergeCell ref="S77:X77"/>
    <mergeCell ref="S78:X78"/>
    <mergeCell ref="S79:X79"/>
    <mergeCell ref="S81:X81"/>
    <mergeCell ref="Y57:AD57"/>
    <mergeCell ref="Y58:AD58"/>
    <mergeCell ref="Y59:AD59"/>
    <mergeCell ref="Y60:AD60"/>
    <mergeCell ref="Y61:AD61"/>
    <mergeCell ref="Y62:AD62"/>
    <mergeCell ref="Y63:AD63"/>
    <mergeCell ref="Y64:AD64"/>
    <mergeCell ref="Y65:AD65"/>
    <mergeCell ref="Y66:AD66"/>
    <mergeCell ref="Y67:AD67"/>
    <mergeCell ref="Y68:AD68"/>
    <mergeCell ref="Y75:AD75"/>
    <mergeCell ref="Y76:AD76"/>
    <mergeCell ref="Y77:AD77"/>
    <mergeCell ref="Y70:AD70"/>
    <mergeCell ref="Y71:AD71"/>
    <mergeCell ref="Y72:AD72"/>
    <mergeCell ref="Y73:AD73"/>
    <mergeCell ref="Y69:AD69"/>
    <mergeCell ref="Y79:AD79"/>
    <mergeCell ref="Y81:AD81"/>
    <mergeCell ref="C8:H8"/>
    <mergeCell ref="C9:H9"/>
    <mergeCell ref="I8:J8"/>
    <mergeCell ref="I9:J9"/>
    <mergeCell ref="K8:L8"/>
    <mergeCell ref="K9:L9"/>
    <mergeCell ref="M8:O8"/>
    <mergeCell ref="A131:AD131"/>
    <mergeCell ref="Z8:AA8"/>
    <mergeCell ref="Z9:AA9"/>
    <mergeCell ref="AB8:AD8"/>
    <mergeCell ref="AB9:AD9"/>
    <mergeCell ref="R8:W8"/>
    <mergeCell ref="R9:W9"/>
    <mergeCell ref="X8:Y8"/>
    <mergeCell ref="X9:Y9"/>
    <mergeCell ref="Y78:AD78"/>
    <mergeCell ref="A47:D47"/>
    <mergeCell ref="E47:F47"/>
    <mergeCell ref="G47:J47"/>
    <mergeCell ref="K47:L47"/>
    <mergeCell ref="Y47:AB47"/>
    <mergeCell ref="AC47:AD47"/>
    <mergeCell ref="M47:P47"/>
    <mergeCell ref="Q47:R47"/>
    <mergeCell ref="S47:V47"/>
    <mergeCell ref="W47:X47"/>
  </mergeCells>
  <conditionalFormatting sqref="E47:F47 K47:L47 Q47:R47 W47:X47 AC47:AD47">
    <cfRule type="cellIs" priority="1" dxfId="1" operator="equal" stopIfTrue="1">
      <formula>"Y"</formula>
    </cfRule>
  </conditionalFormatting>
  <printOptions/>
  <pageMargins left="0.2755905511811024" right="0.1968503937007874" top="0.1968503937007874" bottom="0.1968503937007874" header="0" footer="0.1968503937007874"/>
  <pageSetup fitToHeight="1" fitToWidth="1" horizontalDpi="300" verticalDpi="300" orientation="landscape" paperSize="9" scale="92" r:id="rId4"/>
  <headerFooter alignWithMargins="0">
    <oddFooter>&amp;C&amp;D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JSM ENGINEERING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BURROWS</dc:creator>
  <cp:keywords/>
  <dc:description/>
  <cp:lastModifiedBy>PETE BURROWS</cp:lastModifiedBy>
  <cp:lastPrinted>2007-07-14T16:20:44Z</cp:lastPrinted>
  <dcterms:created xsi:type="dcterms:W3CDTF">2000-12-07T10:49:15Z</dcterms:created>
  <dcterms:modified xsi:type="dcterms:W3CDTF">2007-11-24T17:22:48Z</dcterms:modified>
  <cp:category/>
  <cp:version/>
  <cp:contentType/>
  <cp:contentStatus/>
</cp:coreProperties>
</file>